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7900" windowHeight="14445"/>
  </bookViews>
  <sheets>
    <sheet name="Apresentação" sheetId="1" r:id="rId1"/>
    <sheet name="Estimativa de Custo" sheetId="8" r:id="rId2"/>
    <sheet name="Vigilante 12X36 Diurno Arm" sheetId="2" r:id="rId3"/>
    <sheet name="Calculo 12 36 Diu Arm" sheetId="4" r:id="rId4"/>
    <sheet name="Vigilante 12x36 Noturno Arm" sheetId="6" r:id="rId5"/>
    <sheet name="Calculo 12 36 Not Arm" sheetId="5" r:id="rId6"/>
    <sheet name="Vigilante 12X36 Diurno Des" sheetId="9" r:id="rId7"/>
    <sheet name="Calculo 12 36 Diu Des" sheetId="10" r:id="rId8"/>
    <sheet name="Vigilante 12X36 Noturno Des" sheetId="11" r:id="rId9"/>
    <sheet name="Calculo 12 36 Not Des" sheetId="12" r:id="rId10"/>
    <sheet name="Vigilante 5x2 12h Arm" sheetId="13" r:id="rId11"/>
    <sheet name="Calculo 5x2 12h Arm" sheetId="14" r:id="rId12"/>
    <sheet name="Vigilante 5x2 12h Desar" sheetId="17" r:id="rId13"/>
    <sheet name="Calculo 5x2 12h Desar" sheetId="18" r:id="rId14"/>
    <sheet name="Vigilante 44h Desarm" sheetId="21" r:id="rId15"/>
    <sheet name="Calculo 44h Desarm" sheetId="22" r:id="rId16"/>
    <sheet name="Uniforme" sheetId="3" r:id="rId17"/>
  </sheets>
  <definedNames>
    <definedName name="_xlnm.Print_Area" localSheetId="0">Apresentação!$A$9:$L$37</definedName>
    <definedName name="_xlnm.Print_Area" localSheetId="3">'Calculo 12 36 Diu Arm'!$A$1:$C$230</definedName>
    <definedName name="_xlnm.Print_Area" localSheetId="7">'Calculo 12 36 Diu Des'!$A$1:$C$230</definedName>
    <definedName name="_xlnm.Print_Area" localSheetId="5">'Calculo 12 36 Not Arm'!$A$1:$C$230</definedName>
    <definedName name="_xlnm.Print_Area" localSheetId="9">'Calculo 12 36 Not Des'!$A$1:$C$230</definedName>
    <definedName name="_xlnm.Print_Area" localSheetId="11">'Calculo 5x2 12h Arm'!$A$1:$C$244</definedName>
    <definedName name="_xlnm.Print_Area" localSheetId="13">'Calculo 5x2 12h Desar'!$A$1:$C$244</definedName>
    <definedName name="_xlnm.Print_Area" localSheetId="1">'Estimativa de Custo'!$A$1:$N$50</definedName>
    <definedName name="_xlnm.Print_Area" localSheetId="16">Uniforme!$A$1:$G$174</definedName>
    <definedName name="_xlnm.Print_Area" localSheetId="2">'Vigilante 12X36 Diurno Arm'!$A$1:$D$171</definedName>
    <definedName name="_xlnm.Print_Area" localSheetId="6">'Vigilante 12X36 Diurno Des'!$A$1:$D$170</definedName>
    <definedName name="_xlnm.Print_Area" localSheetId="4">'Vigilante 12x36 Noturno Arm'!$A$1:$D$172</definedName>
    <definedName name="_xlnm.Print_Area" localSheetId="8">'Vigilante 12X36 Noturno Des'!$A$1:$D$174</definedName>
    <definedName name="_xlnm.Print_Area" localSheetId="14">'Vigilante 44h Desarm'!$A$1:$D$172</definedName>
    <definedName name="_xlnm.Print_Area" localSheetId="10">'Vigilante 5x2 12h Arm'!$A$1:$D$173</definedName>
    <definedName name="_xlnm.Print_Area" localSheetId="12">'Vigilante 5x2 12h Desar'!$A$1:$D$171</definedName>
    <definedName name="OLE_LINK1" localSheetId="0">Apresentação!#REF!</definedName>
  </definedNames>
  <calcPr calcId="125725" iterateDelta="1E-4"/>
</workbook>
</file>

<file path=xl/calcChain.xml><?xml version="1.0" encoding="utf-8"?>
<calcChain xmlns="http://schemas.openxmlformats.org/spreadsheetml/2006/main">
  <c r="H37" i="8"/>
  <c r="G37"/>
  <c r="H36" i="1"/>
  <c r="G36"/>
  <c r="H35"/>
  <c r="G35"/>
  <c r="H34"/>
  <c r="G34"/>
  <c r="H33"/>
  <c r="G33"/>
  <c r="H32"/>
  <c r="G32"/>
  <c r="H31"/>
  <c r="G31"/>
  <c r="H30"/>
  <c r="G30"/>
  <c r="J25" i="8"/>
  <c r="G36"/>
  <c r="H25"/>
  <c r="G31"/>
  <c r="G30"/>
  <c r="B65" i="12"/>
  <c r="D13" i="21" l="1"/>
  <c r="D12" i="17"/>
  <c r="D14" i="13"/>
  <c r="D14" i="11"/>
  <c r="D12" i="9"/>
  <c r="D12" i="6"/>
  <c r="D12" i="2"/>
  <c r="I49" i="8"/>
  <c r="G35"/>
  <c r="I48" s="1"/>
  <c r="G29"/>
  <c r="H24"/>
  <c r="H23"/>
  <c r="H22"/>
  <c r="H35" s="1"/>
  <c r="J48" s="1"/>
  <c r="H21"/>
  <c r="H20"/>
  <c r="H19"/>
  <c r="H18"/>
  <c r="H17"/>
  <c r="H16"/>
  <c r="H15"/>
  <c r="H14"/>
  <c r="H13"/>
  <c r="H12"/>
  <c r="H11"/>
  <c r="H10"/>
  <c r="H9"/>
  <c r="H8"/>
  <c r="H31" s="1"/>
  <c r="H7"/>
  <c r="H6"/>
  <c r="H5"/>
  <c r="H4"/>
  <c r="H3"/>
  <c r="H30" l="1"/>
  <c r="J44" s="1"/>
  <c r="H36"/>
  <c r="J49" s="1"/>
  <c r="H29"/>
  <c r="G34"/>
  <c r="I47" s="1"/>
  <c r="G33"/>
  <c r="I46" s="1"/>
  <c r="I45"/>
  <c r="I44"/>
  <c r="I43"/>
  <c r="G26"/>
  <c r="H33"/>
  <c r="J46" s="1"/>
  <c r="J45"/>
  <c r="I50" l="1"/>
  <c r="H26"/>
  <c r="J43"/>
  <c r="H34"/>
  <c r="J47" s="1"/>
  <c r="D14" i="21"/>
  <c r="C11" i="22" s="1"/>
  <c r="B168"/>
  <c r="B146"/>
  <c r="C59"/>
  <c r="C57"/>
  <c r="C56"/>
  <c r="C55"/>
  <c r="C16"/>
  <c r="C15"/>
  <c r="C14"/>
  <c r="C13"/>
  <c r="C12"/>
  <c r="C10"/>
  <c r="B6"/>
  <c r="C121" s="1"/>
  <c r="D51" i="21" s="1"/>
  <c r="D52" s="1"/>
  <c r="B222" i="22"/>
  <c r="B161"/>
  <c r="B139"/>
  <c r="B124"/>
  <c r="B118"/>
  <c r="B115"/>
  <c r="B109"/>
  <c r="B104"/>
  <c r="C103"/>
  <c r="C106" s="1"/>
  <c r="B99"/>
  <c r="B98"/>
  <c r="B94"/>
  <c r="B85"/>
  <c r="B88" s="1"/>
  <c r="B90" s="1"/>
  <c r="B79"/>
  <c r="C80" s="1"/>
  <c r="C83" s="1"/>
  <c r="C78"/>
  <c r="B76"/>
  <c r="C75"/>
  <c r="B63"/>
  <c r="B61"/>
  <c r="B48"/>
  <c r="B49" s="1"/>
  <c r="B46"/>
  <c r="B41"/>
  <c r="C42" s="1"/>
  <c r="C44" s="1"/>
  <c r="B36"/>
  <c r="B34"/>
  <c r="B31"/>
  <c r="C37" s="1"/>
  <c r="B21"/>
  <c r="B22" s="1"/>
  <c r="B18"/>
  <c r="B5"/>
  <c r="B127" s="1"/>
  <c r="C130" s="1"/>
  <c r="D53" i="21" s="1"/>
  <c r="C144"/>
  <c r="C125"/>
  <c r="D125" s="1"/>
  <c r="C123"/>
  <c r="D121"/>
  <c r="C121"/>
  <c r="C119"/>
  <c r="D106"/>
  <c r="D112" s="1"/>
  <c r="D62"/>
  <c r="C62"/>
  <c r="C60"/>
  <c r="D60"/>
  <c r="D58"/>
  <c r="C58"/>
  <c r="D56"/>
  <c r="C56"/>
  <c r="C54"/>
  <c r="C52"/>
  <c r="C41"/>
  <c r="C47" s="1"/>
  <c r="B243" i="22" s="1"/>
  <c r="B110" l="1"/>
  <c r="B111" s="1"/>
  <c r="C112" s="1"/>
  <c r="G37" i="1"/>
  <c r="J50" i="8"/>
  <c r="H37" i="1"/>
  <c r="D54" i="21"/>
  <c r="D63" s="1"/>
  <c r="D69" s="1"/>
  <c r="C54" i="22"/>
  <c r="C17"/>
  <c r="C19" s="1"/>
  <c r="C22" s="1"/>
  <c r="C23" s="1"/>
  <c r="C24" s="1"/>
  <c r="C26" s="1"/>
  <c r="C91"/>
  <c r="C50"/>
  <c r="F156" i="3"/>
  <c r="D25" i="21" l="1"/>
  <c r="C58" i="22"/>
  <c r="C60" s="1"/>
  <c r="C62" s="1"/>
  <c r="C65" s="1"/>
  <c r="B162" l="1"/>
  <c r="B236"/>
  <c r="B140"/>
  <c r="C213"/>
  <c r="B7"/>
  <c r="D147" i="21"/>
  <c r="D31"/>
  <c r="D33"/>
  <c r="D34"/>
  <c r="C116" i="4"/>
  <c r="B197" i="22" l="1"/>
  <c r="C202" s="1"/>
  <c r="D90" i="21" s="1"/>
  <c r="B153" i="22"/>
  <c r="C158" s="1"/>
  <c r="D78" i="21" s="1"/>
  <c r="B227" i="22"/>
  <c r="B188"/>
  <c r="C194" s="1"/>
  <c r="D89" i="21" s="1"/>
  <c r="B133" i="22"/>
  <c r="C136" s="1"/>
  <c r="D75" i="21" s="1"/>
  <c r="B205" i="22"/>
  <c r="C210" s="1"/>
  <c r="D92" i="21" s="1"/>
  <c r="B181" i="22"/>
  <c r="C185" s="1"/>
  <c r="D88" i="21" s="1"/>
  <c r="B163" i="22"/>
  <c r="B237"/>
  <c r="B238" s="1"/>
  <c r="C244" s="1"/>
  <c r="D100" i="21" s="1"/>
  <c r="B141" i="22"/>
  <c r="B144" s="1"/>
  <c r="C31" i="21"/>
  <c r="C159" s="1"/>
  <c r="D164"/>
  <c r="D159"/>
  <c r="B143" i="22"/>
  <c r="B165"/>
  <c r="D161" i="21"/>
  <c r="D166"/>
  <c r="C34"/>
  <c r="C161" s="1"/>
  <c r="B164" i="22"/>
  <c r="B142"/>
  <c r="D160" i="21"/>
  <c r="C33"/>
  <c r="C160" s="1"/>
  <c r="D165"/>
  <c r="D32"/>
  <c r="C15" i="18"/>
  <c r="B166" i="22" l="1"/>
  <c r="C169" s="1"/>
  <c r="C149"/>
  <c r="C147"/>
  <c r="D77" i="21" s="1"/>
  <c r="B228" i="22"/>
  <c r="B229" s="1"/>
  <c r="C234" s="1"/>
  <c r="D98" i="21" s="1"/>
  <c r="D99" s="1"/>
  <c r="D102" s="1"/>
  <c r="D110" s="1"/>
  <c r="C78"/>
  <c r="D79"/>
  <c r="D94"/>
  <c r="D95" s="1"/>
  <c r="D109" s="1"/>
  <c r="C216" i="22" s="1"/>
  <c r="D35" i="21"/>
  <c r="C32"/>
  <c r="D76"/>
  <c r="C75"/>
  <c r="C164"/>
  <c r="E171" i="3"/>
  <c r="E170"/>
  <c r="E169"/>
  <c r="F172" s="1"/>
  <c r="F164"/>
  <c r="F163"/>
  <c r="F162"/>
  <c r="F161"/>
  <c r="F160"/>
  <c r="F159"/>
  <c r="D158"/>
  <c r="F158" s="1"/>
  <c r="D157"/>
  <c r="F157" s="1"/>
  <c r="D156"/>
  <c r="B168" i="18"/>
  <c r="B146"/>
  <c r="C102"/>
  <c r="C100"/>
  <c r="C74"/>
  <c r="C72"/>
  <c r="C59"/>
  <c r="C57"/>
  <c r="C56"/>
  <c r="C55"/>
  <c r="C53"/>
  <c r="C14"/>
  <c r="C13"/>
  <c r="C12"/>
  <c r="C10"/>
  <c r="B6"/>
  <c r="C40" s="1"/>
  <c r="C42" s="1"/>
  <c r="C44" s="1"/>
  <c r="B222"/>
  <c r="B161"/>
  <c r="B139"/>
  <c r="B124"/>
  <c r="B118"/>
  <c r="B115"/>
  <c r="B109"/>
  <c r="B104"/>
  <c r="B99"/>
  <c r="B110" s="1"/>
  <c r="B111" s="1"/>
  <c r="B98"/>
  <c r="B94"/>
  <c r="B90"/>
  <c r="B88"/>
  <c r="B85"/>
  <c r="B79"/>
  <c r="B76"/>
  <c r="B63"/>
  <c r="B61"/>
  <c r="B48"/>
  <c r="B49" s="1"/>
  <c r="B46"/>
  <c r="B41"/>
  <c r="B36"/>
  <c r="B34"/>
  <c r="B31"/>
  <c r="B22"/>
  <c r="B18"/>
  <c r="B5"/>
  <c r="B127" s="1"/>
  <c r="C130" s="1"/>
  <c r="D52" i="17" s="1"/>
  <c r="C143"/>
  <c r="D124"/>
  <c r="C124"/>
  <c r="C122"/>
  <c r="C120"/>
  <c r="D120" s="1"/>
  <c r="C118"/>
  <c r="D61"/>
  <c r="C61"/>
  <c r="C59"/>
  <c r="C57"/>
  <c r="D57" s="1"/>
  <c r="C55"/>
  <c r="D55" s="1"/>
  <c r="C53"/>
  <c r="C51"/>
  <c r="C40"/>
  <c r="C46" s="1"/>
  <c r="B243" i="18" s="1"/>
  <c r="D122" i="21" l="1"/>
  <c r="D121" i="17"/>
  <c r="D122" s="1"/>
  <c r="D53"/>
  <c r="C171" i="22"/>
  <c r="C172" s="1"/>
  <c r="C217"/>
  <c r="D111" i="21"/>
  <c r="D113" s="1"/>
  <c r="D150" s="1"/>
  <c r="D42"/>
  <c r="D41"/>
  <c r="D45"/>
  <c r="D39"/>
  <c r="D46"/>
  <c r="D67"/>
  <c r="D40"/>
  <c r="D43"/>
  <c r="D44"/>
  <c r="D162"/>
  <c r="C77"/>
  <c r="C162" s="1"/>
  <c r="D80"/>
  <c r="D81" s="1"/>
  <c r="C150" i="22"/>
  <c r="C50" i="18"/>
  <c r="D22" i="17" s="1"/>
  <c r="D13" s="1"/>
  <c r="G165" i="3"/>
  <c r="D59" i="17"/>
  <c r="C121" i="18"/>
  <c r="D50" i="17" s="1"/>
  <c r="D51" s="1"/>
  <c r="D117" l="1"/>
  <c r="C215" i="18" s="1"/>
  <c r="D118" i="21"/>
  <c r="D123"/>
  <c r="D62" i="17"/>
  <c r="D68" s="1"/>
  <c r="D167" i="21"/>
  <c r="D47"/>
  <c r="D68" s="1"/>
  <c r="D70" s="1"/>
  <c r="D149"/>
  <c r="C218" i="22"/>
  <c r="D163" i="21"/>
  <c r="C80"/>
  <c r="C163" s="1"/>
  <c r="C16" i="18"/>
  <c r="B174" i="3"/>
  <c r="C73" i="18"/>
  <c r="C75" s="1"/>
  <c r="C78" s="1"/>
  <c r="C80" s="1"/>
  <c r="C83" s="1"/>
  <c r="C91" s="1"/>
  <c r="C54"/>
  <c r="C101"/>
  <c r="C103" s="1"/>
  <c r="C106" s="1"/>
  <c r="C112" s="1"/>
  <c r="C11"/>
  <c r="B222" i="14"/>
  <c r="C215" i="22" l="1"/>
  <c r="D119" i="21"/>
  <c r="D118" i="17"/>
  <c r="D125" s="1"/>
  <c r="D150" s="1"/>
  <c r="D126" i="21"/>
  <c r="D151" s="1"/>
  <c r="C214" i="22"/>
  <c r="D148" i="21"/>
  <c r="C17" i="18"/>
  <c r="C19" s="1"/>
  <c r="C22" s="1"/>
  <c r="C23" s="1"/>
  <c r="C24" s="1"/>
  <c r="C26" s="1"/>
  <c r="C58" s="1"/>
  <c r="C60" s="1"/>
  <c r="C62" s="1"/>
  <c r="C65" s="1"/>
  <c r="B168" i="14"/>
  <c r="B161"/>
  <c r="D131" i="21" l="1"/>
  <c r="D132" s="1"/>
  <c r="D133" s="1"/>
  <c r="D134" s="1"/>
  <c r="D137" s="1"/>
  <c r="C219" i="22"/>
  <c r="C221" s="1"/>
  <c r="C223" s="1"/>
  <c r="D152" i="21"/>
  <c r="C29" i="18"/>
  <c r="C37" s="1"/>
  <c r="D24" i="17" s="1"/>
  <c r="D32" s="1"/>
  <c r="D164" s="1"/>
  <c r="B146" i="14"/>
  <c r="B139"/>
  <c r="C130"/>
  <c r="B127"/>
  <c r="B124"/>
  <c r="B115"/>
  <c r="B109"/>
  <c r="B104"/>
  <c r="C102"/>
  <c r="C100"/>
  <c r="B99" s="1"/>
  <c r="B98"/>
  <c r="B94"/>
  <c r="B90"/>
  <c r="B88"/>
  <c r="B85"/>
  <c r="B79"/>
  <c r="B76"/>
  <c r="C74"/>
  <c r="C72"/>
  <c r="B63"/>
  <c r="B61"/>
  <c r="C59"/>
  <c r="C57"/>
  <c r="C56"/>
  <c r="C55"/>
  <c r="C53"/>
  <c r="B48"/>
  <c r="B49" s="1"/>
  <c r="B46"/>
  <c r="B41"/>
  <c r="B110" l="1"/>
  <c r="B111" s="1"/>
  <c r="D138" i="21"/>
  <c r="D142"/>
  <c r="D144" s="1"/>
  <c r="D153" s="1"/>
  <c r="D155" s="1"/>
  <c r="J36" i="1" s="1"/>
  <c r="D33" i="17"/>
  <c r="D31" s="1"/>
  <c r="D34" s="1"/>
  <c r="D30"/>
  <c r="B237" i="18" s="1"/>
  <c r="B238" s="1"/>
  <c r="C244" s="1"/>
  <c r="D99" i="17" s="1"/>
  <c r="B162" i="18"/>
  <c r="B236"/>
  <c r="B140"/>
  <c r="D146" i="17"/>
  <c r="B7" i="18"/>
  <c r="B133" s="1"/>
  <c r="C136" s="1"/>
  <c r="D74" i="17" s="1"/>
  <c r="C213" i="18"/>
  <c r="D159" i="17"/>
  <c r="B164" i="18"/>
  <c r="B142"/>
  <c r="C32" i="17"/>
  <c r="C159" s="1"/>
  <c r="B36" i="14"/>
  <c r="B34"/>
  <c r="B31"/>
  <c r="B22"/>
  <c r="B18"/>
  <c r="C15"/>
  <c r="C14"/>
  <c r="C13"/>
  <c r="C12"/>
  <c r="C10"/>
  <c r="B6"/>
  <c r="C40" s="1"/>
  <c r="C42" s="1"/>
  <c r="C44" s="1"/>
  <c r="C50" s="1"/>
  <c r="D24" i="13" s="1"/>
  <c r="B5" i="14"/>
  <c r="I36" i="1" l="1"/>
  <c r="K36"/>
  <c r="L36" s="1"/>
  <c r="B227" i="18"/>
  <c r="B228" s="1"/>
  <c r="B229" s="1"/>
  <c r="C234" s="1"/>
  <c r="D97" i="17" s="1"/>
  <c r="D98" s="1"/>
  <c r="D101" s="1"/>
  <c r="D109" s="1"/>
  <c r="B205" i="18"/>
  <c r="C210" s="1"/>
  <c r="D91" i="17" s="1"/>
  <c r="B197" i="18"/>
  <c r="C202" s="1"/>
  <c r="D89" i="17" s="1"/>
  <c r="B153" i="18"/>
  <c r="C158" s="1"/>
  <c r="D77" i="17" s="1"/>
  <c r="D78" s="1"/>
  <c r="B188" i="18"/>
  <c r="C194" s="1"/>
  <c r="D88" i="17" s="1"/>
  <c r="J19" i="8"/>
  <c r="J16"/>
  <c r="J5"/>
  <c r="J13"/>
  <c r="L49"/>
  <c r="B181" i="18"/>
  <c r="C185" s="1"/>
  <c r="D87" i="17" s="1"/>
  <c r="D165"/>
  <c r="B141" i="18"/>
  <c r="C33" i="17"/>
  <c r="C160" s="1"/>
  <c r="D158"/>
  <c r="B165" i="18"/>
  <c r="C30" i="17"/>
  <c r="C158" s="1"/>
  <c r="C31"/>
  <c r="B163" i="18"/>
  <c r="D163" i="17"/>
  <c r="B143" i="18"/>
  <c r="D160" i="17"/>
  <c r="D75"/>
  <c r="C74"/>
  <c r="D44"/>
  <c r="D39"/>
  <c r="D40"/>
  <c r="D42"/>
  <c r="D41"/>
  <c r="D43"/>
  <c r="D66"/>
  <c r="D38"/>
  <c r="D45"/>
  <c r="C121" i="14"/>
  <c r="C145" i="13"/>
  <c r="C77" i="17" l="1"/>
  <c r="D93"/>
  <c r="D94" s="1"/>
  <c r="D108" s="1"/>
  <c r="C216" i="18" s="1"/>
  <c r="C163" i="17"/>
  <c r="B118" i="14"/>
  <c r="D52" i="13"/>
  <c r="M49" i="8"/>
  <c r="K49"/>
  <c r="K5"/>
  <c r="I5"/>
  <c r="K13"/>
  <c r="L13" s="1"/>
  <c r="I13"/>
  <c r="B166" i="18"/>
  <c r="C171" s="1"/>
  <c r="B144"/>
  <c r="C149" s="1"/>
  <c r="C217"/>
  <c r="D46" i="17"/>
  <c r="D67" s="1"/>
  <c r="D69" s="1"/>
  <c r="C126" i="13"/>
  <c r="D126" s="1"/>
  <c r="C124"/>
  <c r="C122"/>
  <c r="C120"/>
  <c r="D63"/>
  <c r="C63"/>
  <c r="C61"/>
  <c r="D59"/>
  <c r="C59"/>
  <c r="C57"/>
  <c r="D57" s="1"/>
  <c r="C55"/>
  <c r="D54" s="1"/>
  <c r="C53"/>
  <c r="C48"/>
  <c r="B243" i="14" s="1"/>
  <c r="C42" i="13"/>
  <c r="C16" i="14"/>
  <c r="E145" i="3"/>
  <c r="E144"/>
  <c r="E143"/>
  <c r="E142"/>
  <c r="E141"/>
  <c r="E140"/>
  <c r="E139"/>
  <c r="E138"/>
  <c r="E137"/>
  <c r="E136"/>
  <c r="E135"/>
  <c r="F146" s="1"/>
  <c r="D123" i="13" s="1"/>
  <c r="F130" i="3"/>
  <c r="F129"/>
  <c r="F128"/>
  <c r="F127"/>
  <c r="F126"/>
  <c r="F125"/>
  <c r="D124"/>
  <c r="F124" s="1"/>
  <c r="D123"/>
  <c r="D122"/>
  <c r="F114"/>
  <c r="E113"/>
  <c r="E112"/>
  <c r="E111"/>
  <c r="E110"/>
  <c r="F105"/>
  <c r="F104"/>
  <c r="F103"/>
  <c r="F102"/>
  <c r="F101"/>
  <c r="F100"/>
  <c r="F99"/>
  <c r="C99"/>
  <c r="F98"/>
  <c r="C98"/>
  <c r="F97"/>
  <c r="G106" s="1"/>
  <c r="C97"/>
  <c r="E88"/>
  <c r="E87"/>
  <c r="E86"/>
  <c r="F89" s="1"/>
  <c r="F81"/>
  <c r="F80"/>
  <c r="F79"/>
  <c r="F78"/>
  <c r="F77"/>
  <c r="F76"/>
  <c r="F75" s="1"/>
  <c r="D75"/>
  <c r="F74" s="1"/>
  <c r="D74"/>
  <c r="F73" s="1"/>
  <c r="G82" s="1"/>
  <c r="D73"/>
  <c r="F63"/>
  <c r="E62"/>
  <c r="E61"/>
  <c r="E60"/>
  <c r="E59"/>
  <c r="E58"/>
  <c r="E57"/>
  <c r="E56"/>
  <c r="E55"/>
  <c r="E54"/>
  <c r="E53"/>
  <c r="E52"/>
  <c r="E51"/>
  <c r="F46"/>
  <c r="F45"/>
  <c r="F44"/>
  <c r="F43"/>
  <c r="F42"/>
  <c r="F41"/>
  <c r="F40"/>
  <c r="G47" s="1"/>
  <c r="C40"/>
  <c r="F39"/>
  <c r="C39"/>
  <c r="F38"/>
  <c r="C38"/>
  <c r="E26"/>
  <c r="E25"/>
  <c r="E24"/>
  <c r="E23"/>
  <c r="E22"/>
  <c r="E21"/>
  <c r="E20"/>
  <c r="F27" s="1"/>
  <c r="E19"/>
  <c r="E18"/>
  <c r="E17"/>
  <c r="E16"/>
  <c r="B65" l="1"/>
  <c r="B91"/>
  <c r="B116"/>
  <c r="D53" i="13"/>
  <c r="D110" i="17"/>
  <c r="D61" i="13"/>
  <c r="N49" i="8"/>
  <c r="L5"/>
  <c r="C169" i="18"/>
  <c r="C172" s="1"/>
  <c r="D79" i="17" s="1"/>
  <c r="C79" s="1"/>
  <c r="C162" s="1"/>
  <c r="C147" i="18"/>
  <c r="C150" s="1"/>
  <c r="D76" i="17" s="1"/>
  <c r="C214" i="18"/>
  <c r="D122" i="13"/>
  <c r="F123" i="3"/>
  <c r="F122"/>
  <c r="D147" i="17"/>
  <c r="D124" i="13"/>
  <c r="D15"/>
  <c r="C54" i="14" s="1"/>
  <c r="D55" i="13"/>
  <c r="F11" i="3"/>
  <c r="F10"/>
  <c r="F9"/>
  <c r="F8"/>
  <c r="F7"/>
  <c r="F6"/>
  <c r="F5" s="1"/>
  <c r="D5"/>
  <c r="F4" s="1"/>
  <c r="D4"/>
  <c r="F3" s="1"/>
  <c r="D3"/>
  <c r="B208" i="12"/>
  <c r="B154"/>
  <c r="B147"/>
  <c r="B132"/>
  <c r="B125"/>
  <c r="C116"/>
  <c r="B113"/>
  <c r="B110"/>
  <c r="B104"/>
  <c r="B101"/>
  <c r="B95"/>
  <c r="B90"/>
  <c r="G12" i="3" l="1"/>
  <c r="B29" s="1"/>
  <c r="D64" i="13"/>
  <c r="D70" s="1"/>
  <c r="D162" i="17"/>
  <c r="D80"/>
  <c r="C218" i="18" s="1"/>
  <c r="C219" s="1"/>
  <c r="C221" s="1"/>
  <c r="C223" s="1"/>
  <c r="D105" i="17" s="1"/>
  <c r="D111" s="1"/>
  <c r="D112" s="1"/>
  <c r="D161"/>
  <c r="C76"/>
  <c r="C161" s="1"/>
  <c r="G131" i="3"/>
  <c r="D119" i="13" s="1"/>
  <c r="C101" i="14"/>
  <c r="C103" s="1"/>
  <c r="C106" s="1"/>
  <c r="C112" s="1"/>
  <c r="C73"/>
  <c r="C75" s="1"/>
  <c r="C78" s="1"/>
  <c r="C80" s="1"/>
  <c r="C83" s="1"/>
  <c r="C91" s="1"/>
  <c r="C11"/>
  <c r="C17" s="1"/>
  <c r="C19" s="1"/>
  <c r="C29" s="1"/>
  <c r="C37" s="1"/>
  <c r="C88" i="12"/>
  <c r="C86"/>
  <c r="B85"/>
  <c r="B84"/>
  <c r="B80"/>
  <c r="B76"/>
  <c r="B74"/>
  <c r="B71"/>
  <c r="B62"/>
  <c r="C60"/>
  <c r="C58"/>
  <c r="B49"/>
  <c r="B47"/>
  <c r="C45"/>
  <c r="C41"/>
  <c r="C39"/>
  <c r="B35"/>
  <c r="B33"/>
  <c r="B30"/>
  <c r="B21"/>
  <c r="B17"/>
  <c r="C15"/>
  <c r="C12"/>
  <c r="C10"/>
  <c r="B6"/>
  <c r="C107" s="1"/>
  <c r="D51" i="11" s="1"/>
  <c r="B5" i="12"/>
  <c r="C144" i="11"/>
  <c r="C125"/>
  <c r="D125" s="1"/>
  <c r="C123"/>
  <c r="D122"/>
  <c r="D121" s="1"/>
  <c r="C121"/>
  <c r="C119"/>
  <c r="D118"/>
  <c r="C201" i="12" s="1"/>
  <c r="C62" i="11"/>
  <c r="D62" s="1"/>
  <c r="C60"/>
  <c r="D58"/>
  <c r="C58"/>
  <c r="D56"/>
  <c r="C56"/>
  <c r="C54"/>
  <c r="D53"/>
  <c r="C52"/>
  <c r="C47"/>
  <c r="B229" i="12" s="1"/>
  <c r="C41" i="11"/>
  <c r="D15"/>
  <c r="C59" i="12" s="1"/>
  <c r="B208" i="10"/>
  <c r="D119" i="11" l="1"/>
  <c r="D123"/>
  <c r="C40" i="12"/>
  <c r="C87"/>
  <c r="C89" s="1"/>
  <c r="C92" s="1"/>
  <c r="C11"/>
  <c r="C61"/>
  <c r="C64" s="1"/>
  <c r="C66" s="1"/>
  <c r="D17" i="11" s="1"/>
  <c r="D166" i="17"/>
  <c r="D148"/>
  <c r="D52" i="11"/>
  <c r="D60"/>
  <c r="B148" i="3"/>
  <c r="D120" i="13"/>
  <c r="D127" s="1"/>
  <c r="D152" s="1"/>
  <c r="C215" i="14"/>
  <c r="D149" i="17"/>
  <c r="D130"/>
  <c r="D131" s="1"/>
  <c r="D132" s="1"/>
  <c r="D133" s="1"/>
  <c r="D54" i="11"/>
  <c r="C22" i="14"/>
  <c r="C23" s="1"/>
  <c r="C24" s="1"/>
  <c r="C26" s="1"/>
  <c r="D26" i="13" s="1"/>
  <c r="B154" i="10"/>
  <c r="D151" i="17" l="1"/>
  <c r="D63" i="11"/>
  <c r="D69" s="1"/>
  <c r="D137" i="17"/>
  <c r="D141"/>
  <c r="D136"/>
  <c r="C69" i="12"/>
  <c r="C77" s="1"/>
  <c r="C58" i="14"/>
  <c r="C60" s="1"/>
  <c r="C62" s="1"/>
  <c r="C65" s="1"/>
  <c r="B236"/>
  <c r="C213"/>
  <c r="B162"/>
  <c r="B140"/>
  <c r="B7"/>
  <c r="D148" i="13"/>
  <c r="D32"/>
  <c r="D35"/>
  <c r="D34"/>
  <c r="B147" i="10"/>
  <c r="B132"/>
  <c r="B125"/>
  <c r="C116"/>
  <c r="B113"/>
  <c r="B110"/>
  <c r="B104"/>
  <c r="B101"/>
  <c r="B95"/>
  <c r="B90"/>
  <c r="C88"/>
  <c r="C86"/>
  <c r="B85"/>
  <c r="B84"/>
  <c r="B80"/>
  <c r="B76"/>
  <c r="B74"/>
  <c r="B71"/>
  <c r="B65"/>
  <c r="B62"/>
  <c r="C60"/>
  <c r="C58"/>
  <c r="B49"/>
  <c r="B47"/>
  <c r="C45"/>
  <c r="C43"/>
  <c r="C42"/>
  <c r="C41"/>
  <c r="C39"/>
  <c r="D143" i="17" l="1"/>
  <c r="D152" s="1"/>
  <c r="D154" s="1"/>
  <c r="J35" i="1" s="1"/>
  <c r="C42" i="12"/>
  <c r="C13"/>
  <c r="B237" i="14"/>
  <c r="B238" s="1"/>
  <c r="C244" s="1"/>
  <c r="B163"/>
  <c r="B141"/>
  <c r="D160" i="13"/>
  <c r="D165"/>
  <c r="C32"/>
  <c r="C160" s="1"/>
  <c r="B164" i="14"/>
  <c r="B142"/>
  <c r="D161" i="13"/>
  <c r="D166"/>
  <c r="D33"/>
  <c r="C34"/>
  <c r="C161" s="1"/>
  <c r="B165" i="14"/>
  <c r="B143"/>
  <c r="D167" i="13"/>
  <c r="D162"/>
  <c r="C35"/>
  <c r="C162" s="1"/>
  <c r="B227" i="14"/>
  <c r="B181"/>
  <c r="C185" s="1"/>
  <c r="B197"/>
  <c r="C202" s="1"/>
  <c r="B188"/>
  <c r="C194" s="1"/>
  <c r="B205"/>
  <c r="C210" s="1"/>
  <c r="B153"/>
  <c r="C158" s="1"/>
  <c r="B133"/>
  <c r="C136" s="1"/>
  <c r="B33" i="10"/>
  <c r="B30"/>
  <c r="K35" i="1" l="1"/>
  <c r="L35" s="1"/>
  <c r="I35"/>
  <c r="J22" i="8"/>
  <c r="L48"/>
  <c r="D101" i="13"/>
  <c r="D93"/>
  <c r="D91"/>
  <c r="D79"/>
  <c r="C79" s="1"/>
  <c r="D76"/>
  <c r="D77" s="1"/>
  <c r="D89"/>
  <c r="D90"/>
  <c r="B144" i="14"/>
  <c r="C149" s="1"/>
  <c r="B166"/>
  <c r="C171" s="1"/>
  <c r="C165" i="13"/>
  <c r="B228" i="14"/>
  <c r="B229" s="1"/>
  <c r="C234" s="1"/>
  <c r="D36" i="13"/>
  <c r="C33"/>
  <c r="B21" i="10"/>
  <c r="D80" i="13" l="1"/>
  <c r="C147" i="14"/>
  <c r="C150" s="1"/>
  <c r="K19" i="8"/>
  <c r="L19" s="1"/>
  <c r="I19"/>
  <c r="I16"/>
  <c r="K16"/>
  <c r="L16" s="1"/>
  <c r="I22"/>
  <c r="K22"/>
  <c r="L22" s="1"/>
  <c r="M48"/>
  <c r="N48" s="1"/>
  <c r="K48"/>
  <c r="D95" i="13"/>
  <c r="D96" s="1"/>
  <c r="D110" s="1"/>
  <c r="C216" i="14" s="1"/>
  <c r="D99" i="13"/>
  <c r="D100" s="1"/>
  <c r="D103" s="1"/>
  <c r="D111" s="1"/>
  <c r="C76"/>
  <c r="C44" i="12"/>
  <c r="C169" i="14"/>
  <c r="C172" s="1"/>
  <c r="D68" i="13"/>
  <c r="D46"/>
  <c r="D43"/>
  <c r="D40"/>
  <c r="D44"/>
  <c r="D42"/>
  <c r="D47"/>
  <c r="D45"/>
  <c r="D41"/>
  <c r="B17" i="10"/>
  <c r="C15"/>
  <c r="C14"/>
  <c r="C13"/>
  <c r="C12"/>
  <c r="C10"/>
  <c r="B6"/>
  <c r="C107" s="1"/>
  <c r="D49" i="9" s="1"/>
  <c r="B5" i="10"/>
  <c r="D78" i="13" l="1"/>
  <c r="D82" s="1"/>
  <c r="D81"/>
  <c r="D164" s="1"/>
  <c r="C217" i="14"/>
  <c r="D112" i="13"/>
  <c r="D48"/>
  <c r="D69" s="1"/>
  <c r="D71" s="1"/>
  <c r="C142" i="9"/>
  <c r="D163" i="13" l="1"/>
  <c r="D168" s="1"/>
  <c r="C78"/>
  <c r="C163" s="1"/>
  <c r="C81"/>
  <c r="C164" s="1"/>
  <c r="C214" i="14"/>
  <c r="D149" i="13"/>
  <c r="C218" i="14"/>
  <c r="D150" i="13"/>
  <c r="C123" i="9"/>
  <c r="D123" s="1"/>
  <c r="D121"/>
  <c r="C121"/>
  <c r="D120"/>
  <c r="C119"/>
  <c r="D117" s="1"/>
  <c r="C117"/>
  <c r="D116"/>
  <c r="C201" i="10" s="1"/>
  <c r="D119" i="9" l="1"/>
  <c r="C219" i="14"/>
  <c r="C221" s="1"/>
  <c r="C223" s="1"/>
  <c r="C60" i="9"/>
  <c r="C58"/>
  <c r="D56"/>
  <c r="C56"/>
  <c r="C54"/>
  <c r="D54" s="1"/>
  <c r="C52"/>
  <c r="D51"/>
  <c r="D58" l="1"/>
  <c r="D107" i="13"/>
  <c r="D113" s="1"/>
  <c r="D114" s="1"/>
  <c r="D132" s="1"/>
  <c r="D133" s="1"/>
  <c r="D134" s="1"/>
  <c r="D135" s="1"/>
  <c r="D143" s="1"/>
  <c r="D60" i="9"/>
  <c r="D52"/>
  <c r="D50"/>
  <c r="C50"/>
  <c r="D61" l="1"/>
  <c r="D67" s="1"/>
  <c r="D138" i="13"/>
  <c r="D151"/>
  <c r="D153" s="1"/>
  <c r="D139"/>
  <c r="C39" i="9"/>
  <c r="C45" s="1"/>
  <c r="B229" i="10" s="1"/>
  <c r="D13" i="9"/>
  <c r="B208" i="5"/>
  <c r="B154"/>
  <c r="B147"/>
  <c r="B132"/>
  <c r="B125"/>
  <c r="C116"/>
  <c r="B113"/>
  <c r="B110"/>
  <c r="B101"/>
  <c r="B95"/>
  <c r="B90"/>
  <c r="C88"/>
  <c r="C86"/>
  <c r="B85"/>
  <c r="B84"/>
  <c r="B80"/>
  <c r="B76"/>
  <c r="B74"/>
  <c r="B71"/>
  <c r="B65"/>
  <c r="B62"/>
  <c r="C60"/>
  <c r="C58"/>
  <c r="B49"/>
  <c r="B47"/>
  <c r="C45"/>
  <c r="C41"/>
  <c r="C39"/>
  <c r="B35"/>
  <c r="B33"/>
  <c r="B30"/>
  <c r="B21"/>
  <c r="B17"/>
  <c r="C15"/>
  <c r="C12"/>
  <c r="C10"/>
  <c r="B6"/>
  <c r="B5"/>
  <c r="C142" i="6"/>
  <c r="C123"/>
  <c r="D123" s="1"/>
  <c r="D145" i="13" l="1"/>
  <c r="D154" s="1"/>
  <c r="D156" s="1"/>
  <c r="J32" i="1" s="1"/>
  <c r="C59" i="10"/>
  <c r="C61" s="1"/>
  <c r="C64" s="1"/>
  <c r="C66" s="1"/>
  <c r="C69" s="1"/>
  <c r="C77" s="1"/>
  <c r="C40"/>
  <c r="C87"/>
  <c r="C89" s="1"/>
  <c r="C92" s="1"/>
  <c r="C11"/>
  <c r="C16" s="1"/>
  <c r="C18" s="1"/>
  <c r="C107" i="5"/>
  <c r="C121" i="6"/>
  <c r="D120"/>
  <c r="C119"/>
  <c r="C117"/>
  <c r="D116" s="1"/>
  <c r="C60"/>
  <c r="C58"/>
  <c r="C56"/>
  <c r="D56" s="1"/>
  <c r="D54"/>
  <c r="C54"/>
  <c r="C52"/>
  <c r="D51"/>
  <c r="C50"/>
  <c r="C45"/>
  <c r="B229" i="5" s="1"/>
  <c r="C39" i="6"/>
  <c r="D13"/>
  <c r="B208" i="4"/>
  <c r="D52" i="6" l="1"/>
  <c r="I32" i="1"/>
  <c r="K32"/>
  <c r="L32" s="1"/>
  <c r="D58" i="6"/>
  <c r="L45" i="8"/>
  <c r="J8"/>
  <c r="B104" i="5"/>
  <c r="D49" i="6"/>
  <c r="D50" s="1"/>
  <c r="C59" i="5"/>
  <c r="C61" s="1"/>
  <c r="C64" s="1"/>
  <c r="C66" s="1"/>
  <c r="C11"/>
  <c r="C87"/>
  <c r="C89" s="1"/>
  <c r="C92" s="1"/>
  <c r="C40"/>
  <c r="C21" i="10"/>
  <c r="C22" s="1"/>
  <c r="C23" s="1"/>
  <c r="C25" s="1"/>
  <c r="C28"/>
  <c r="C36" s="1"/>
  <c r="D119" i="6"/>
  <c r="D60"/>
  <c r="D121"/>
  <c r="C201" i="5"/>
  <c r="D117" i="6"/>
  <c r="D61" l="1"/>
  <c r="D67" s="1"/>
  <c r="K45" i="8"/>
  <c r="M45"/>
  <c r="N45" s="1"/>
  <c r="K8"/>
  <c r="L8" s="1"/>
  <c r="I8"/>
  <c r="C69" i="5"/>
  <c r="C77" s="1"/>
  <c r="D15" i="6"/>
  <c r="B35" i="10"/>
  <c r="D23" i="9"/>
  <c r="C44" i="10"/>
  <c r="C46" s="1"/>
  <c r="C48" s="1"/>
  <c r="C51" s="1"/>
  <c r="D124" i="6"/>
  <c r="D149" s="1"/>
  <c r="B154" i="4"/>
  <c r="B147"/>
  <c r="B132"/>
  <c r="B125"/>
  <c r="B113"/>
  <c r="B110"/>
  <c r="B101"/>
  <c r="B95"/>
  <c r="C13" i="5" l="1"/>
  <c r="C42"/>
  <c r="D32" i="9"/>
  <c r="D145"/>
  <c r="B7" i="10"/>
  <c r="B126"/>
  <c r="B148"/>
  <c r="B222"/>
  <c r="D29" i="9"/>
  <c r="C199" i="10"/>
  <c r="D31" i="9"/>
  <c r="B90" i="4"/>
  <c r="C88"/>
  <c r="C86"/>
  <c r="B85"/>
  <c r="B84"/>
  <c r="B80"/>
  <c r="B76"/>
  <c r="B74"/>
  <c r="B71"/>
  <c r="B65"/>
  <c r="C31" i="9" l="1"/>
  <c r="C158" s="1"/>
  <c r="D163"/>
  <c r="D158"/>
  <c r="B128" i="10"/>
  <c r="B150"/>
  <c r="D30" i="9"/>
  <c r="B129" i="10"/>
  <c r="C32" i="9"/>
  <c r="C159" s="1"/>
  <c r="D159"/>
  <c r="B151" i="10"/>
  <c r="D164" i="9"/>
  <c r="C29"/>
  <c r="C157" s="1"/>
  <c r="D157"/>
  <c r="B127" i="10"/>
  <c r="B149"/>
  <c r="B223"/>
  <c r="B224" s="1"/>
  <c r="C230" s="1"/>
  <c r="D98" i="9" s="1"/>
  <c r="D162"/>
  <c r="C162" s="1"/>
  <c r="B174" i="10"/>
  <c r="C180" s="1"/>
  <c r="D87" i="9" s="1"/>
  <c r="B213" i="10"/>
  <c r="B191"/>
  <c r="C196" s="1"/>
  <c r="D90" i="9" s="1"/>
  <c r="B139" i="10"/>
  <c r="C144" s="1"/>
  <c r="D76" i="9" s="1"/>
  <c r="B119" i="10"/>
  <c r="C122" s="1"/>
  <c r="D73" i="9" s="1"/>
  <c r="B167" i="10"/>
  <c r="C171" s="1"/>
  <c r="D86" i="9" s="1"/>
  <c r="B183" i="10"/>
  <c r="C188" s="1"/>
  <c r="D88" i="9" s="1"/>
  <c r="C44" i="5"/>
  <c r="B62" i="4"/>
  <c r="C60"/>
  <c r="C58"/>
  <c r="B49"/>
  <c r="B47"/>
  <c r="C45"/>
  <c r="C43"/>
  <c r="C42"/>
  <c r="C41"/>
  <c r="C39"/>
  <c r="B33"/>
  <c r="B30"/>
  <c r="B21"/>
  <c r="B130" i="10" l="1"/>
  <c r="C133" s="1"/>
  <c r="B214"/>
  <c r="B215" s="1"/>
  <c r="C220" s="1"/>
  <c r="D96" i="9" s="1"/>
  <c r="D97" s="1"/>
  <c r="D100" s="1"/>
  <c r="D108" s="1"/>
  <c r="D77"/>
  <c r="C76"/>
  <c r="D92"/>
  <c r="D93" s="1"/>
  <c r="D107" s="1"/>
  <c r="C202" i="10" s="1"/>
  <c r="B152"/>
  <c r="D74" i="9"/>
  <c r="C73"/>
  <c r="C30"/>
  <c r="D33"/>
  <c r="B17" i="4"/>
  <c r="C15"/>
  <c r="C14"/>
  <c r="C13"/>
  <c r="C12"/>
  <c r="C10"/>
  <c r="B6"/>
  <c r="C107" s="1"/>
  <c r="B5"/>
  <c r="C142" i="2"/>
  <c r="D109" i="9" l="1"/>
  <c r="C135" i="10"/>
  <c r="C136" s="1"/>
  <c r="D75" i="9" s="1"/>
  <c r="C75" s="1"/>
  <c r="C160" s="1"/>
  <c r="B104" i="4"/>
  <c r="D49" i="2"/>
  <c r="D40" i="9"/>
  <c r="D41"/>
  <c r="D42"/>
  <c r="D65"/>
  <c r="D43"/>
  <c r="D38"/>
  <c r="D37"/>
  <c r="D44"/>
  <c r="D39"/>
  <c r="C155" i="10"/>
  <c r="C157"/>
  <c r="C203"/>
  <c r="C123" i="2"/>
  <c r="C121"/>
  <c r="D120"/>
  <c r="C119"/>
  <c r="D119" s="1"/>
  <c r="C117"/>
  <c r="D116" s="1"/>
  <c r="C60"/>
  <c r="D60" s="1"/>
  <c r="C58"/>
  <c r="C56"/>
  <c r="D54"/>
  <c r="C54"/>
  <c r="C52"/>
  <c r="D51" s="1"/>
  <c r="C50"/>
  <c r="C45"/>
  <c r="B229" i="4" s="1"/>
  <c r="C39" i="2"/>
  <c r="D160" i="9" l="1"/>
  <c r="D50" i="2"/>
  <c r="C158" i="10"/>
  <c r="D78" i="9" s="1"/>
  <c r="D45"/>
  <c r="D66" s="1"/>
  <c r="D68" s="1"/>
  <c r="D56" i="2"/>
  <c r="D52"/>
  <c r="D121"/>
  <c r="D58"/>
  <c r="D123"/>
  <c r="C201" i="4"/>
  <c r="D117" i="2"/>
  <c r="D124" l="1"/>
  <c r="D149" s="1"/>
  <c r="C200" i="10"/>
  <c r="D146" i="9"/>
  <c r="C78"/>
  <c r="C161" s="1"/>
  <c r="D161"/>
  <c r="D165" s="1"/>
  <c r="D79"/>
  <c r="D61" i="2"/>
  <c r="D67" s="1"/>
  <c r="D13"/>
  <c r="C87" i="4" l="1"/>
  <c r="C89" s="1"/>
  <c r="C92" s="1"/>
  <c r="C40"/>
  <c r="C11"/>
  <c r="C16" s="1"/>
  <c r="C18" s="1"/>
  <c r="C59"/>
  <c r="C61" s="1"/>
  <c r="C64" s="1"/>
  <c r="C66" s="1"/>
  <c r="C69" s="1"/>
  <c r="C77" s="1"/>
  <c r="C205" i="10"/>
  <c r="C207" s="1"/>
  <c r="C209" s="1"/>
  <c r="D103" i="9" s="1"/>
  <c r="D104" s="1"/>
  <c r="D110" s="1"/>
  <c r="D111" s="1"/>
  <c r="D148" s="1"/>
  <c r="D147"/>
  <c r="C204" i="10"/>
  <c r="C28" i="4" l="1"/>
  <c r="C36" s="1"/>
  <c r="C21"/>
  <c r="C22" s="1"/>
  <c r="C23" s="1"/>
  <c r="C25" s="1"/>
  <c r="B35" l="1"/>
  <c r="D23" i="2"/>
  <c r="C44" i="4"/>
  <c r="C46" s="1"/>
  <c r="C48" s="1"/>
  <c r="C51" s="1"/>
  <c r="B222" l="1"/>
  <c r="D31" i="2"/>
  <c r="D29"/>
  <c r="D32"/>
  <c r="B7" i="4"/>
  <c r="D145" i="2"/>
  <c r="B126" i="4"/>
  <c r="B148"/>
  <c r="C199"/>
  <c r="D30" i="2" l="1"/>
  <c r="C31"/>
  <c r="C158" s="1"/>
  <c r="B150" i="4"/>
  <c r="B128"/>
  <c r="D158" i="2"/>
  <c r="D163"/>
  <c r="D164"/>
  <c r="C32"/>
  <c r="C159" s="1"/>
  <c r="D159"/>
  <c r="B129" i="4"/>
  <c r="B151"/>
  <c r="B213"/>
  <c r="B214" s="1"/>
  <c r="B215" s="1"/>
  <c r="C220" s="1"/>
  <c r="D96" i="2" s="1"/>
  <c r="D97" s="1"/>
  <c r="B183" i="4"/>
  <c r="C188" s="1"/>
  <c r="D88" i="2" s="1"/>
  <c r="B167" i="4"/>
  <c r="C171" s="1"/>
  <c r="D86" i="2" s="1"/>
  <c r="B119" i="4"/>
  <c r="C122" s="1"/>
  <c r="D73" i="2" s="1"/>
  <c r="B139" i="4"/>
  <c r="C144" s="1"/>
  <c r="D76" i="2" s="1"/>
  <c r="B174" i="4"/>
  <c r="C180" s="1"/>
  <c r="D87" i="2" s="1"/>
  <c r="B191" i="4"/>
  <c r="C196" s="1"/>
  <c r="D90" i="2" s="1"/>
  <c r="D157"/>
  <c r="B223" i="4"/>
  <c r="B224" s="1"/>
  <c r="C230" s="1"/>
  <c r="D98" i="2" s="1"/>
  <c r="B149" i="4"/>
  <c r="C29" i="2"/>
  <c r="C157" s="1"/>
  <c r="B127" i="4"/>
  <c r="D162" i="2"/>
  <c r="C162" l="1"/>
  <c r="D100"/>
  <c r="D108" s="1"/>
  <c r="C203" i="4" s="1"/>
  <c r="B152"/>
  <c r="C157" s="1"/>
  <c r="D92" i="2"/>
  <c r="D93" s="1"/>
  <c r="D107" s="1"/>
  <c r="C202" i="4" s="1"/>
  <c r="C30" i="2"/>
  <c r="D33"/>
  <c r="C73"/>
  <c r="D74"/>
  <c r="B130" i="4"/>
  <c r="C76" i="2"/>
  <c r="D77"/>
  <c r="C155" i="4" l="1"/>
  <c r="C158" s="1"/>
  <c r="D78" i="2" s="1"/>
  <c r="C135" i="4"/>
  <c r="C133"/>
  <c r="D44" i="2"/>
  <c r="D65"/>
  <c r="D42"/>
  <c r="D41"/>
  <c r="D38"/>
  <c r="D39"/>
  <c r="D37"/>
  <c r="D40"/>
  <c r="D43"/>
  <c r="D109"/>
  <c r="C136" i="4" l="1"/>
  <c r="D75" i="2" s="1"/>
  <c r="C75" s="1"/>
  <c r="C160" s="1"/>
  <c r="D45"/>
  <c r="D66" s="1"/>
  <c r="D68" s="1"/>
  <c r="D146" s="1"/>
  <c r="C78"/>
  <c r="C161" s="1"/>
  <c r="D161"/>
  <c r="D79" l="1"/>
  <c r="C204" i="4" s="1"/>
  <c r="D160" i="2"/>
  <c r="D165" s="1"/>
  <c r="C200" i="4"/>
  <c r="D147" i="2" l="1"/>
  <c r="C205" i="4"/>
  <c r="C207" s="1"/>
  <c r="C209" s="1"/>
  <c r="D103" i="2" s="1"/>
  <c r="D104" s="1"/>
  <c r="D110" s="1"/>
  <c r="D111" s="1"/>
  <c r="D148" s="1"/>
  <c r="D126" i="11"/>
  <c r="D124" i="9"/>
  <c r="D150" i="2" l="1"/>
  <c r="D129"/>
  <c r="D130" s="1"/>
  <c r="D131" s="1"/>
  <c r="D132" s="1"/>
  <c r="D135" s="1"/>
  <c r="D151" i="11"/>
  <c r="D129" i="9"/>
  <c r="D130" s="1"/>
  <c r="D131" s="1"/>
  <c r="D132" s="1"/>
  <c r="D149"/>
  <c r="D150" s="1"/>
  <c r="D136" i="2" l="1"/>
  <c r="D140"/>
  <c r="D140" i="9"/>
  <c r="D135"/>
  <c r="D136"/>
  <c r="D142" i="2" l="1"/>
  <c r="D151" s="1"/>
  <c r="D153" s="1"/>
  <c r="J30" i="1" s="1"/>
  <c r="D142" i="9"/>
  <c r="D151" s="1"/>
  <c r="D153" s="1"/>
  <c r="J33" i="1" s="1"/>
  <c r="K33" l="1"/>
  <c r="L33" s="1"/>
  <c r="I33"/>
  <c r="I30"/>
  <c r="K30"/>
  <c r="L43" i="8"/>
  <c r="K43" s="1"/>
  <c r="J9"/>
  <c r="K9" s="1"/>
  <c r="L9" s="1"/>
  <c r="J6"/>
  <c r="I6" s="1"/>
  <c r="J3"/>
  <c r="J20"/>
  <c r="J17"/>
  <c r="J11"/>
  <c r="L46"/>
  <c r="J23"/>
  <c r="J14"/>
  <c r="L30" i="1" l="1"/>
  <c r="M43" i="8"/>
  <c r="N43" s="1"/>
  <c r="I9"/>
  <c r="K6"/>
  <c r="L6" s="1"/>
  <c r="K11"/>
  <c r="L11" s="1"/>
  <c r="I11"/>
  <c r="I14"/>
  <c r="K14"/>
  <c r="L14" s="1"/>
  <c r="K3"/>
  <c r="I3"/>
  <c r="K20"/>
  <c r="L20" s="1"/>
  <c r="I20"/>
  <c r="I17"/>
  <c r="K17"/>
  <c r="L17" s="1"/>
  <c r="K46"/>
  <c r="M46"/>
  <c r="N46" s="1"/>
  <c r="I23"/>
  <c r="K23"/>
  <c r="L23" s="1"/>
  <c r="L3" l="1"/>
  <c r="I25" l="1"/>
  <c r="K25"/>
  <c r="L25" l="1"/>
  <c r="M25" l="1"/>
  <c r="B96" i="4" l="1"/>
  <c r="B97" s="1"/>
  <c r="C98" s="1"/>
  <c r="B96" i="5"/>
  <c r="B97" s="1"/>
  <c r="C98" s="1"/>
  <c r="D16" i="6" s="1"/>
  <c r="B96" i="10"/>
  <c r="B97" s="1"/>
  <c r="C98" s="1"/>
  <c r="B96" i="12"/>
  <c r="B97" s="1"/>
  <c r="C98" s="1"/>
  <c r="D18" i="11" s="1"/>
  <c r="C14" i="12" l="1"/>
  <c r="C16" s="1"/>
  <c r="C18" s="1"/>
  <c r="C43"/>
  <c r="C46" s="1"/>
  <c r="C48" s="1"/>
  <c r="C51" s="1"/>
  <c r="D25" i="11"/>
  <c r="C43" i="5"/>
  <c r="C46" s="1"/>
  <c r="C48" s="1"/>
  <c r="C51" s="1"/>
  <c r="C14"/>
  <c r="C16" s="1"/>
  <c r="C18" s="1"/>
  <c r="C28" i="12" l="1"/>
  <c r="C36" s="1"/>
  <c r="C21"/>
  <c r="C22" s="1"/>
  <c r="C23" s="1"/>
  <c r="C25" s="1"/>
  <c r="D147" i="11"/>
  <c r="B148" i="12"/>
  <c r="D34" i="11"/>
  <c r="B7" i="12"/>
  <c r="D31" i="11"/>
  <c r="B126" i="12"/>
  <c r="C199"/>
  <c r="B222"/>
  <c r="D33" i="11"/>
  <c r="C21" i="5"/>
  <c r="C22" s="1"/>
  <c r="C23" s="1"/>
  <c r="C25" s="1"/>
  <c r="C28"/>
  <c r="C36" s="1"/>
  <c r="D23" i="6" s="1"/>
  <c r="B119" i="12" l="1"/>
  <c r="C122" s="1"/>
  <c r="D75" i="11" s="1"/>
  <c r="B191" i="12"/>
  <c r="C196" s="1"/>
  <c r="D92" i="11" s="1"/>
  <c r="B167" i="12"/>
  <c r="C171" s="1"/>
  <c r="D88" i="11" s="1"/>
  <c r="B213" i="12"/>
  <c r="B139"/>
  <c r="C144" s="1"/>
  <c r="D78" i="11" s="1"/>
  <c r="B174" i="12"/>
  <c r="C180" s="1"/>
  <c r="D89" i="11" s="1"/>
  <c r="B183" i="12"/>
  <c r="C188" s="1"/>
  <c r="D90" i="11" s="1"/>
  <c r="C199" i="5"/>
  <c r="B148"/>
  <c r="B126"/>
  <c r="B222"/>
  <c r="D32" i="6"/>
  <c r="D31"/>
  <c r="D29"/>
  <c r="D145"/>
  <c r="B7" i="5"/>
  <c r="B223" i="12"/>
  <c r="B224" s="1"/>
  <c r="C230" s="1"/>
  <c r="D100" i="11" s="1"/>
  <c r="D159"/>
  <c r="C31"/>
  <c r="C159" s="1"/>
  <c r="B127" i="12"/>
  <c r="B149"/>
  <c r="D164" i="11"/>
  <c r="C33"/>
  <c r="C160" s="1"/>
  <c r="D160"/>
  <c r="D32"/>
  <c r="B128" i="12"/>
  <c r="B130" s="1"/>
  <c r="D165" i="11"/>
  <c r="B150" i="12"/>
  <c r="C34" i="11"/>
  <c r="C161" s="1"/>
  <c r="B151" i="12"/>
  <c r="B129"/>
  <c r="D161" i="11"/>
  <c r="D166"/>
  <c r="D94" l="1"/>
  <c r="D95" s="1"/>
  <c r="D109" s="1"/>
  <c r="C202" i="12" s="1"/>
  <c r="B119" i="5"/>
  <c r="C122" s="1"/>
  <c r="D73" i="6" s="1"/>
  <c r="B191" i="5"/>
  <c r="C196" s="1"/>
  <c r="D90" i="6" s="1"/>
  <c r="B167" i="5"/>
  <c r="C171" s="1"/>
  <c r="D86" i="6" s="1"/>
  <c r="B139" i="5"/>
  <c r="C144" s="1"/>
  <c r="D76" i="6" s="1"/>
  <c r="B174" i="5"/>
  <c r="C180" s="1"/>
  <c r="D87" i="6" s="1"/>
  <c r="B213" i="5"/>
  <c r="B214" s="1"/>
  <c r="B215" s="1"/>
  <c r="C220" s="1"/>
  <c r="D96" i="6" s="1"/>
  <c r="D97" s="1"/>
  <c r="B183" i="5"/>
  <c r="C188" s="1"/>
  <c r="D88" i="6" s="1"/>
  <c r="B129" i="5"/>
  <c r="B151"/>
  <c r="D159" i="6"/>
  <c r="D164"/>
  <c r="C32"/>
  <c r="C159" s="1"/>
  <c r="B150" i="5"/>
  <c r="D158" i="6"/>
  <c r="C31"/>
  <c r="C158" s="1"/>
  <c r="D30"/>
  <c r="B128" i="5"/>
  <c r="D163" i="6"/>
  <c r="D76" i="11"/>
  <c r="C75"/>
  <c r="D79"/>
  <c r="C78"/>
  <c r="C32"/>
  <c r="D35"/>
  <c r="C133" i="12"/>
  <c r="C135"/>
  <c r="B214"/>
  <c r="B215" s="1"/>
  <c r="C220" s="1"/>
  <c r="D98" i="11" s="1"/>
  <c r="D157" i="6"/>
  <c r="C29"/>
  <c r="C157" s="1"/>
  <c r="B127" i="5"/>
  <c r="D162" i="6"/>
  <c r="B149" i="5"/>
  <c r="B223"/>
  <c r="B224" s="1"/>
  <c r="C230" s="1"/>
  <c r="D98" i="6" s="1"/>
  <c r="B152" i="12"/>
  <c r="C164" i="11"/>
  <c r="B152" i="5" l="1"/>
  <c r="C155" s="1"/>
  <c r="B130"/>
  <c r="C133" s="1"/>
  <c r="D99" i="11"/>
  <c r="D102" s="1"/>
  <c r="D110" s="1"/>
  <c r="C155" i="12"/>
  <c r="C157"/>
  <c r="D67" i="11"/>
  <c r="D42"/>
  <c r="D41"/>
  <c r="D39"/>
  <c r="D40"/>
  <c r="D43"/>
  <c r="D46"/>
  <c r="D45"/>
  <c r="D44"/>
  <c r="D77" i="6"/>
  <c r="C76"/>
  <c r="D33"/>
  <c r="C30"/>
  <c r="D92"/>
  <c r="D93" s="1"/>
  <c r="D107" s="1"/>
  <c r="C202" i="5" s="1"/>
  <c r="C73" i="6"/>
  <c r="D74"/>
  <c r="C162"/>
  <c r="C136" i="12"/>
  <c r="D77" i="11" s="1"/>
  <c r="D100" i="6"/>
  <c r="D108" s="1"/>
  <c r="C135" i="5" l="1"/>
  <c r="C136" s="1"/>
  <c r="D75" i="6" s="1"/>
  <c r="C157" i="5"/>
  <c r="C158" s="1"/>
  <c r="D78" i="6" s="1"/>
  <c r="C78" s="1"/>
  <c r="C161" s="1"/>
  <c r="D81" i="11"/>
  <c r="C204" i="12" s="1"/>
  <c r="C158"/>
  <c r="D80" i="11" s="1"/>
  <c r="C80" s="1"/>
  <c r="C163" s="1"/>
  <c r="D111"/>
  <c r="C203" i="12"/>
  <c r="D47" i="11"/>
  <c r="D68" s="1"/>
  <c r="D70" s="1"/>
  <c r="D65" i="6"/>
  <c r="D43"/>
  <c r="D41"/>
  <c r="D40"/>
  <c r="D39"/>
  <c r="D38"/>
  <c r="D37"/>
  <c r="D42"/>
  <c r="D44"/>
  <c r="C77" i="11"/>
  <c r="C162" s="1"/>
  <c r="D162"/>
  <c r="D109" i="6"/>
  <c r="C203" i="5"/>
  <c r="D149" i="11" l="1"/>
  <c r="D163"/>
  <c r="D167" s="1"/>
  <c r="D79" i="6"/>
  <c r="D147" s="1"/>
  <c r="D161"/>
  <c r="D148" i="11"/>
  <c r="C200" i="12"/>
  <c r="C205" s="1"/>
  <c r="C207" s="1"/>
  <c r="C209" s="1"/>
  <c r="D105" i="11" s="1"/>
  <c r="D106" s="1"/>
  <c r="D112" s="1"/>
  <c r="D113" s="1"/>
  <c r="D45" i="6"/>
  <c r="D66" s="1"/>
  <c r="D68" s="1"/>
  <c r="C75"/>
  <c r="C160" s="1"/>
  <c r="D160"/>
  <c r="C204" i="5" l="1"/>
  <c r="D165" i="6"/>
  <c r="D152" i="11"/>
  <c r="D150"/>
  <c r="D131"/>
  <c r="D132" s="1"/>
  <c r="D133" s="1"/>
  <c r="D134" s="1"/>
  <c r="D146" i="6"/>
  <c r="C200" i="5"/>
  <c r="C205" l="1"/>
  <c r="C207" s="1"/>
  <c r="C209" s="1"/>
  <c r="D103" i="6" s="1"/>
  <c r="D104" s="1"/>
  <c r="D110" s="1"/>
  <c r="D111" s="1"/>
  <c r="D148" s="1"/>
  <c r="D150" s="1"/>
  <c r="D142" i="11"/>
  <c r="D138"/>
  <c r="D137"/>
  <c r="D144" l="1"/>
  <c r="D153" s="1"/>
  <c r="D155" s="1"/>
  <c r="J15" i="8" s="1"/>
  <c r="D129" i="6"/>
  <c r="D130" s="1"/>
  <c r="D131" s="1"/>
  <c r="D132" s="1"/>
  <c r="D140" s="1"/>
  <c r="J18" i="8" l="1"/>
  <c r="I18" s="1"/>
  <c r="J34" i="1"/>
  <c r="I34" s="1"/>
  <c r="J21" i="8"/>
  <c r="I21" s="1"/>
  <c r="L47"/>
  <c r="K47" s="1"/>
  <c r="J12"/>
  <c r="I12" s="1"/>
  <c r="J24"/>
  <c r="I24" s="1"/>
  <c r="D135" i="6"/>
  <c r="D136"/>
  <c r="K15" i="8"/>
  <c r="L15" s="1"/>
  <c r="M16" s="1"/>
  <c r="I15"/>
  <c r="M47" l="1"/>
  <c r="N47" s="1"/>
  <c r="K12"/>
  <c r="L12" s="1"/>
  <c r="M13" s="1"/>
  <c r="K24"/>
  <c r="L24" s="1"/>
  <c r="M24" s="1"/>
  <c r="K18"/>
  <c r="L18" s="1"/>
  <c r="M19" s="1"/>
  <c r="K21"/>
  <c r="L21" s="1"/>
  <c r="M22" s="1"/>
  <c r="K34" i="1"/>
  <c r="L34" s="1"/>
  <c r="D142" i="6"/>
  <c r="D151" s="1"/>
  <c r="D153" s="1"/>
  <c r="L44" i="8" s="1"/>
  <c r="J31" i="1" l="1"/>
  <c r="I31" s="1"/>
  <c r="J4" i="8"/>
  <c r="I4" s="1"/>
  <c r="J7"/>
  <c r="K7" s="1"/>
  <c r="L7" s="1"/>
  <c r="M8" s="1"/>
  <c r="J10"/>
  <c r="I10" s="1"/>
  <c r="M44"/>
  <c r="K44"/>
  <c r="K4" l="1"/>
  <c r="K10"/>
  <c r="L10" s="1"/>
  <c r="M10" s="1"/>
  <c r="I7"/>
  <c r="K31" i="1"/>
  <c r="L31" s="1"/>
  <c r="N44" i="8"/>
  <c r="N50" s="1"/>
  <c r="M50"/>
  <c r="K26" l="1"/>
  <c r="L4"/>
  <c r="L26" s="1"/>
  <c r="K37" i="1"/>
  <c r="L37" s="1"/>
  <c r="M5" i="8" l="1"/>
</calcChain>
</file>

<file path=xl/sharedStrings.xml><?xml version="1.0" encoding="utf-8"?>
<sst xmlns="http://schemas.openxmlformats.org/spreadsheetml/2006/main" count="3766" uniqueCount="416">
  <si>
    <t>Nº do Processo:</t>
  </si>
  <si>
    <t>Licitação Nº</t>
  </si>
  <si>
    <t>Dia ________/________/________ às _____:______ horas</t>
  </si>
  <si>
    <t>A</t>
  </si>
  <si>
    <t>B</t>
  </si>
  <si>
    <t>C</t>
  </si>
  <si>
    <t>D</t>
  </si>
  <si>
    <t>Data de Apresentação da Proposta (dia/mês/ano):</t>
  </si>
  <si>
    <t>Município/UF:</t>
  </si>
  <si>
    <t>Número de Meses de execução Contratual:</t>
  </si>
  <si>
    <t>Ano do Acordo, Convenção ou Dissídio Coletivo:</t>
  </si>
  <si>
    <t>PLANILHA DE CUSTOS E FORMAÇÃO DE PREÇOS - APRESENTAÇÃO</t>
  </si>
  <si>
    <t>IDENTIFICAÇÃO DO SERVIÇO</t>
  </si>
  <si>
    <t>Tipo de serviço</t>
  </si>
  <si>
    <t>Unidade de Medida</t>
  </si>
  <si>
    <t>Quantidade a contratar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</si>
  <si>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</si>
  <si>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</si>
  <si>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</si>
  <si>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</si>
  <si>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Data-Base da Categoria (dia/mês/ano) </t>
  </si>
  <si>
    <t xml:space="preserve">Categoria Profissional </t>
  </si>
  <si>
    <t>Módulo 1 - Composição da Remuneração</t>
  </si>
  <si>
    <t>Composição da Remuneração</t>
  </si>
  <si>
    <t>Valor (R$)</t>
  </si>
  <si>
    <t>E</t>
  </si>
  <si>
    <t>F</t>
  </si>
  <si>
    <t>G</t>
  </si>
  <si>
    <t>H</t>
  </si>
  <si>
    <t>TOTAL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</si>
  <si>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</si>
  <si>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</si>
  <si>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</si>
  <si>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</si>
  <si>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</si>
  <si>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</si>
  <si>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</si>
  <si>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</si>
  <si>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</si>
  <si>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</si>
  <si>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</si>
  <si>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B.1</t>
  </si>
  <si>
    <t>B.2</t>
  </si>
  <si>
    <t>Férias e Adicional de Férias</t>
  </si>
  <si>
    <t>Adicional de Férias</t>
  </si>
  <si>
    <t xml:space="preserve">Férias </t>
  </si>
  <si>
    <t>13º Salário</t>
  </si>
  <si>
    <t>Sub-Módulo 2.2 - Encargos Previdenciários (GPS), Fundo de Garantia por Tempo de Serviço (FGTS) e outras contribuições</t>
  </si>
  <si>
    <t>2.2</t>
  </si>
  <si>
    <t>GPS, FGTS e outras contribuições</t>
  </si>
  <si>
    <t>%</t>
  </si>
  <si>
    <t>INSS</t>
  </si>
  <si>
    <t>Salário Educação</t>
  </si>
  <si>
    <t>SESC ou SESI</t>
  </si>
  <si>
    <t>SENAI - SENAC</t>
  </si>
  <si>
    <t>SEBRAE</t>
  </si>
  <si>
    <t>INCRA</t>
  </si>
  <si>
    <t>FGTS</t>
  </si>
  <si>
    <t>SAT (Risco ambiental do trabalho)</t>
  </si>
  <si>
    <t>Sub-Módulo 2.3 - Benefícios Mensais e Diários</t>
  </si>
  <si>
    <t>2.3</t>
  </si>
  <si>
    <t>Benefícios Mensais e Diários</t>
  </si>
  <si>
    <t>Transporte</t>
  </si>
  <si>
    <t>Auxílio-Refeição/Alimentação</t>
  </si>
  <si>
    <t>I</t>
  </si>
  <si>
    <t>Adicional de Liderança / Gratificação de Encarregado</t>
  </si>
  <si>
    <t>Assistência Médica e Familiar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</si>
  <si>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</si>
  <si>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</si>
  <si>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</si>
  <si>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</si>
  <si>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Trabalhado</t>
  </si>
  <si>
    <t>Aviso-Prévio Indenizado</t>
  </si>
  <si>
    <t>Incidência do FGTS sobre o Aviso-Prévio Indenizado</t>
  </si>
  <si>
    <t>Incidência dos encargos do módulo 2.2 sobre o Aviso-Prévio Trabalhado</t>
  </si>
  <si>
    <t>Multa sobre FGTS e contribuição social sobre o Aviso Prévio Indenizado</t>
  </si>
  <si>
    <t>Multa do FGTS e contribuição social sobre o Aviso-Prévio Trabalhado</t>
  </si>
  <si>
    <t>Reserva Mensal para o Pagamento de Encargos Trabalhistas</t>
  </si>
  <si>
    <t>Incidência do Sub-Modulo 2.2 sobre Férias</t>
  </si>
  <si>
    <t>Incidência do Sub-Modulo 2.2 sobre 13º Salário</t>
  </si>
  <si>
    <t>Incidência do Sub-Modulo 2.2 sobre Adicional de Férias</t>
  </si>
  <si>
    <t>F.1</t>
  </si>
  <si>
    <t>F.2</t>
  </si>
  <si>
    <t>F.3</t>
  </si>
  <si>
    <t>Módulo 4 - Custo de Reposição do Profissional Ausente</t>
  </si>
  <si>
    <t>4.1</t>
  </si>
  <si>
    <t>Ausências Legais</t>
  </si>
  <si>
    <t>Sub-Módulo 4.1 - Ausências Legais</t>
  </si>
  <si>
    <t>Férias</t>
  </si>
  <si>
    <t>Licença Paternidade</t>
  </si>
  <si>
    <t xml:space="preserve">Ausência por acidente de trabalho </t>
  </si>
  <si>
    <t>4.2</t>
  </si>
  <si>
    <t>Afastamento Maternidade (120 dias)</t>
  </si>
  <si>
    <t>Ausência por Doença</t>
  </si>
  <si>
    <t xml:space="preserve">Incidência dos encargos do módulo 2.2 sobre o Módulo </t>
  </si>
  <si>
    <t>Intervalo Intrajornada (caso o empregado trabalhe no periodo destinado)</t>
  </si>
  <si>
    <t>Férias pagas ao Substituto pelos 120 dias de Reposição</t>
  </si>
  <si>
    <t>Incidência dos encargos do módulo 2.2 sobre a Remuneração e o 13 salário proporcionais aos 120 dias de Reposição</t>
  </si>
  <si>
    <t>Incidência dos encargos do módulo 2.2 sobre as Férias pagas ao Subistituto pelos 120 dias de Reposição</t>
  </si>
  <si>
    <t>4.1.1</t>
  </si>
  <si>
    <t>Intervalo Intrajornada</t>
  </si>
  <si>
    <t>Custo de Referencia</t>
  </si>
  <si>
    <t>Divisor de Horas no mês</t>
  </si>
  <si>
    <t>Custo da Hora</t>
  </si>
  <si>
    <t>Total de Horas Mensais cobertas por posto</t>
  </si>
  <si>
    <t>Percentual Aplicado - CCT</t>
  </si>
  <si>
    <t>Intervado Intrajornada</t>
  </si>
  <si>
    <t>Memória de Cálculo Intervalo IntraJornada Trabalhado (Módulo 1)</t>
  </si>
  <si>
    <t>Memória de Cálculo Intervalo IntraJornada com cobertura (Módulo 4)</t>
  </si>
  <si>
    <t>Quadro-Resumo do Módulo 4 - Custo de Reposição do Profissional Ausente</t>
  </si>
  <si>
    <t>Total das Ausências Legais</t>
  </si>
  <si>
    <t xml:space="preserve">DIURNO ARMADO - UNIFORMES </t>
  </si>
  <si>
    <t>ITEM</t>
  </si>
  <si>
    <t>VIDA ÚTIL (MESES)</t>
  </si>
  <si>
    <t>ENTREGA SEMESTRAL AO EMPREGADO</t>
  </si>
  <si>
    <t>ENTREGA ANUAL AO EMPREGADO</t>
  </si>
  <si>
    <t>QTD POR POSTO (COMPOSTO POR 2 EMPREGADOS)</t>
  </si>
  <si>
    <t xml:space="preserve">Valor por posto </t>
  </si>
  <si>
    <t>CALÇA</t>
  </si>
  <si>
    <t>CAMISA MANGA COMPRIDA</t>
  </si>
  <si>
    <t>CAMISA DE MANGA</t>
  </si>
  <si>
    <t>CINTO DE NYLON</t>
  </si>
  <si>
    <t>JAQUETA DE FRIO OU JAPONA</t>
  </si>
  <si>
    <t>CAPA DE NYLON</t>
  </si>
  <si>
    <t>QUEPE/BONÉ</t>
  </si>
  <si>
    <t>CRACHÁ DE IDENTIFICAÇÃO</t>
  </si>
  <si>
    <t xml:space="preserve">DIURNO ARMADO - EQUIPAMENTOS E COMPLEMENTOS </t>
  </si>
  <si>
    <t>CASSETETE (1)</t>
  </si>
  <si>
    <t>PORTA CASSETETE (1)</t>
  </si>
  <si>
    <t>APITO</t>
  </si>
  <si>
    <t>CORDÃO DE APITO</t>
  </si>
  <si>
    <t>RÁDIO COMUNICADOR (1)</t>
  </si>
  <si>
    <t>REVÓLVER CALIBRE 38 (2)</t>
  </si>
  <si>
    <t>CINTURÃO PARA REVÓLVER (2)</t>
  </si>
  <si>
    <t>COLDRE (2)</t>
  </si>
  <si>
    <t>MUNIÇÃO CALIBRE 38 (2)</t>
  </si>
  <si>
    <t>CAPA PARA COLETE BALÍSTICO</t>
  </si>
  <si>
    <t xml:space="preserve">NOTURNO ARMADO - UNIFORMES </t>
  </si>
  <si>
    <t>VALOR UNIT</t>
  </si>
  <si>
    <t xml:space="preserve">NOTURNO ARMADO - EQUIPAMENTOS E COMPLEMENTOS </t>
  </si>
  <si>
    <t>LANTERNA RECARREGÁVEL 15 LEDS</t>
  </si>
  <si>
    <t>COLETE À PROVA DE BALAS</t>
  </si>
  <si>
    <t>QTD POR  EMPREGADO</t>
  </si>
  <si>
    <t>CASSETETE</t>
  </si>
  <si>
    <t xml:space="preserve">PORTA CASSETETE </t>
  </si>
  <si>
    <t xml:space="preserve">RÁDIO COMUNICADOR </t>
  </si>
  <si>
    <t xml:space="preserve">REVÓLVER CALIBRE 38 </t>
  </si>
  <si>
    <t>CINTURÃO PARA REVÓLVER</t>
  </si>
  <si>
    <t xml:space="preserve">COLDRE </t>
  </si>
  <si>
    <t xml:space="preserve">MUNIÇÃO CALIBRE 38 </t>
  </si>
  <si>
    <t>VALOR MENSAL POR EMPREGADO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</si>
  <si>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</si>
  <si>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</si>
  <si>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</si>
  <si>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</si>
  <si>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</si>
  <si>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</si>
  <si>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</si>
  <si>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</si>
  <si>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</si>
  <si>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</si>
  <si>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</si>
  <si>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</si>
  <si>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C.1.1</t>
  </si>
  <si>
    <t>C.1.2</t>
  </si>
  <si>
    <t>PIS</t>
  </si>
  <si>
    <t>COFINS</t>
  </si>
  <si>
    <t>C.2</t>
  </si>
  <si>
    <t>Tributos Estaduais</t>
  </si>
  <si>
    <t>ICMS</t>
  </si>
  <si>
    <t>C.2.1</t>
  </si>
  <si>
    <t>C.3</t>
  </si>
  <si>
    <t>Tributos Municipais</t>
  </si>
  <si>
    <t>C.3.1</t>
  </si>
  <si>
    <t>ISS</t>
  </si>
  <si>
    <t>C.4</t>
  </si>
  <si>
    <t>Outros Tributos (especificar)</t>
  </si>
  <si>
    <t>A.1</t>
  </si>
  <si>
    <t>Crédito PIS/COFINS</t>
  </si>
  <si>
    <t>D.1</t>
  </si>
  <si>
    <t>E.1</t>
  </si>
  <si>
    <t>Valor líquido mensal dos serviços (sem os tributos)</t>
  </si>
  <si>
    <t>Valor mensal dos serviços (incluindo os tributos) - Base para o cálculo dos tributos</t>
  </si>
  <si>
    <t>QUADRO RESUMO DO CUSTO POR EMPREGADO</t>
  </si>
  <si>
    <t xml:space="preserve">B </t>
  </si>
  <si>
    <t>MÓDULO 1 - Composição da Remuneração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</si>
  <si>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</si>
  <si>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</si>
  <si>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</si>
  <si>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</si>
  <si>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MÓDULO 6 - Custos indiretos, Lucro e Tributos</t>
  </si>
  <si>
    <t>VALOR TOTAL POR EMPREGADO</t>
  </si>
  <si>
    <t>A + B + C + D + E</t>
  </si>
  <si>
    <t>Custo de Referência</t>
  </si>
  <si>
    <t>J</t>
  </si>
  <si>
    <t>DSR sobre a Hora Extra no Feriado Trabalhado</t>
  </si>
  <si>
    <t>K</t>
  </si>
  <si>
    <t>Número de Feriados</t>
  </si>
  <si>
    <t xml:space="preserve">Número de Horas Trabalhadas </t>
  </si>
  <si>
    <t>Total Anual de Horas Trabalhadas</t>
  </si>
  <si>
    <t>% de Funcionários Trabalhando durante o feriado</t>
  </si>
  <si>
    <t>% de aumento sobre a hora Trabalhada</t>
  </si>
  <si>
    <t xml:space="preserve">Número de meses </t>
  </si>
  <si>
    <t>Total do Adicional de Hora Extra no Feriado Trabalhado</t>
  </si>
  <si>
    <t xml:space="preserve">Total de Dias do Ano </t>
  </si>
  <si>
    <t>Dias ano sem Feriado e Domingo</t>
  </si>
  <si>
    <t>Número de Meses</t>
  </si>
  <si>
    <t>Sub-Total ((Total de Horas Anuais/Nº de Meses)x Funcionarios Trabalhando durante o feriado)/Dias no ano sem feriados e domingos)</t>
  </si>
  <si>
    <t>Total do DSR sobre a Hor Extra no Feriado Trabalhado</t>
  </si>
  <si>
    <t>Memória de Cálculo do Adicional de Hora Extra no Feriado Trabalhado (Módulo 1)</t>
  </si>
  <si>
    <t>Memória de Cálculo da DSR sobre a Hora Extra no Feriado Trabalhado (Módulo 1)</t>
  </si>
  <si>
    <t>PLANILHA DE CUSTOS E FORMAÇÃO DE PREÇOS - MÃO DE OBRA</t>
  </si>
  <si>
    <t>Memória de Cálculo Adicional Noturno (Módulo 1)</t>
  </si>
  <si>
    <t xml:space="preserve">% de Funcionários Trabalhando </t>
  </si>
  <si>
    <t>Salário Base</t>
  </si>
  <si>
    <t>% Adicional Noturno</t>
  </si>
  <si>
    <t xml:space="preserve">Valor da Hora Noturna com Adicional </t>
  </si>
  <si>
    <t>Número de Horas Trabalhadas no mês</t>
  </si>
  <si>
    <t>Valor do Adicional Noturno</t>
  </si>
  <si>
    <t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</si>
  <si>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</si>
  <si>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</si>
  <si>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>Hora Noturna Equivalente (em minutos)</t>
  </si>
  <si>
    <t>Hora Diurna (em minutos)</t>
  </si>
  <si>
    <t xml:space="preserve">Coeficente de horas </t>
  </si>
  <si>
    <t>Hora Noturna Mensal Ajustada</t>
  </si>
  <si>
    <t>Hora Noturna Mensal Ajustada - Hora noturna trabalhada no mês</t>
  </si>
  <si>
    <t>Valor da Hora Noturna Reduzida</t>
  </si>
  <si>
    <t>Total de Dias do Ano</t>
  </si>
  <si>
    <t>Total de Horas Mensais cobertas por posto - (Uma hora por dia)</t>
  </si>
  <si>
    <t>Total de Dias Trabalhados no Mês por empregado</t>
  </si>
  <si>
    <t>DSR sobre o Adicional Noturno</t>
  </si>
  <si>
    <t>Memória de Cálculo da DSR sobre o Adicional Noturno (Módulo 1)</t>
  </si>
  <si>
    <t>Memória de Cálculo Vale Transporte (Módulo 2)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</si>
  <si>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</si>
  <si>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</si>
  <si>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</si>
  <si>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</si>
  <si>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</si>
  <si>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</si>
  <si>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>Memória de Cálculo Aviso Prévio Indenizado (Módulo 3)</t>
  </si>
  <si>
    <t>Total da Remuneração (Módulo 1)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</si>
  <si>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</si>
  <si>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</si>
  <si>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</si>
  <si>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</si>
  <si>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</si>
  <si>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Total de Remuneração</t>
  </si>
  <si>
    <t>Base de Cálculo</t>
  </si>
  <si>
    <t>Multa sobre FGTS</t>
  </si>
  <si>
    <t>Alíquiota mensal de Recolhimento do FGTS</t>
  </si>
  <si>
    <t>Porcentagem de dispensas sem justa Causa Com Aviso Prévio Indenizado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</si>
  <si>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</si>
  <si>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</si>
  <si>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</si>
  <si>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</si>
  <si>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</si>
  <si>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</si>
  <si>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</si>
  <si>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Memória de Cálculo Multa FGTS e Contribuição Social sobre o Aviso Prévio Trabalhado (Módulo 3)</t>
  </si>
  <si>
    <t>Porcentagem de dispensas sem justa Causa Com Aviso Prévio Trabalhado</t>
  </si>
  <si>
    <t>Memória de Cálculo Ausencias Legais (Módulo 4)</t>
  </si>
  <si>
    <t>Memória de Cálculo Férias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</si>
  <si>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</si>
  <si>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</si>
  <si>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</si>
  <si>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</si>
  <si>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 xml:space="preserve">Média de Dias de Licença por ano </t>
  </si>
  <si>
    <t>Porcentagem de incidência de ocorrência da Licença-Paternidade</t>
  </si>
  <si>
    <t>Memória de Cálculo Licença-Paternidade (Módulo 4)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</si>
  <si>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</si>
  <si>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</si>
  <si>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</si>
  <si>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</si>
  <si>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</si>
  <si>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Memória de Cálculo Ausencia por Doença (Módulo 4)</t>
  </si>
  <si>
    <t>Porcentagem de ocorrência por doença</t>
  </si>
  <si>
    <t>Memória de Cálculo Afastamento Maternidade (Módulo 4)</t>
  </si>
  <si>
    <t xml:space="preserve">Meses de Afastamento </t>
  </si>
  <si>
    <t>Porcentagem de ocorrência do Afastamento Maternidade</t>
  </si>
  <si>
    <t>Porcentagem de mão de obra feminina contratada</t>
  </si>
  <si>
    <t xml:space="preserve">Terço Constitucional </t>
  </si>
  <si>
    <t>Férias pagas ao Substituto pelos 120 dias de reposição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</si>
  <si>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</si>
  <si>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</si>
  <si>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</si>
  <si>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</si>
  <si>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</si>
  <si>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</si>
  <si>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r>
      <rPr>
        <vertAlign val="superscript"/>
        <sz val="10"/>
        <color theme="1"/>
        <rFont val="Spranq eco sans"/>
        <family val="2"/>
      </rPr>
      <t xml:space="preserve">(1) </t>
    </r>
    <r>
      <rPr>
        <sz val="10"/>
        <color theme="1"/>
        <rFont val="Spranq eco sans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</si>
  <si>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theme="1"/>
        <rFont val="Spranq eco sans"/>
        <family val="2"/>
      </rPr>
      <t>(2)</t>
    </r>
    <r>
      <rPr>
        <sz val="10"/>
        <color theme="1"/>
        <rFont val="Spranq eco sans"/>
        <family val="2"/>
      </rPr>
      <t xml:space="preserve"> Caso o empregado trabalhe durante o intervalo para repouso e alimentação, o valor deverá ser aportado na alínea "H" do Módulo 1 (Composição da Remuneração) com os devidos reflexos legais (CLT e CCT)</t>
    </r>
  </si>
  <si>
    <t>(2) Para efeito de estimativa de cálculo, adotamos o percentual de 60% (30% para cada empregado) para utilização de armas, munições, coldres e cinturões conforme a legislação vigente que prevê que o número de armas em poder das empresas de segurança será o equivalente de 50% do efetivo de vigilantes, acrescida de reserva de 20% sobre o número resultante, em conjunto com o período de uso de 24 horas diárias</t>
  </si>
  <si>
    <t>(1) estimou-se a utilização de rádios, cassetetes , porta cassetetes e outros  no período de uso de 24 horas diárias.  Desta
forma para cada posto foi considerado a fração de sua utilização em 50% (25% para cada empregado)</t>
  </si>
  <si>
    <t>Outros (Seguro de Vida / Invalidez / Auxílio Funeral)</t>
  </si>
  <si>
    <t>Porcentagem de dispensa sem justa causa com Aviso Prévio Trabalhado</t>
  </si>
  <si>
    <t>5173-30</t>
  </si>
  <si>
    <t xml:space="preserve">Vigilantes e Empregados em Empresas de Segurança e Vigilância </t>
  </si>
  <si>
    <t>1.1</t>
  </si>
  <si>
    <t xml:space="preserve">Vigilância desarmada de 12x36 horas noturnas de Segunda-Feira a Domingo </t>
  </si>
  <si>
    <t xml:space="preserve">Vigilância desarmada de 12x36 horas diurnas de Segunda-Feira a Domingo </t>
  </si>
  <si>
    <t xml:space="preserve"> Vigilância armada de 12x36 horas noturnas de Segunda-Feira a Domingo </t>
  </si>
  <si>
    <t xml:space="preserve"> Vigilância armada de 12x36 horas diurnas de Segunda-Feira a Domingo </t>
  </si>
  <si>
    <t>Lote 1</t>
  </si>
  <si>
    <t>Item 1</t>
  </si>
  <si>
    <t>Item 2</t>
  </si>
  <si>
    <t>Item 3</t>
  </si>
  <si>
    <t>Item 4</t>
  </si>
  <si>
    <t>Posto com 2 funcionários</t>
  </si>
  <si>
    <t>Posto de Localização</t>
  </si>
  <si>
    <t>Escala</t>
  </si>
  <si>
    <t>Dias da Semana</t>
  </si>
  <si>
    <t>Nº estimado de empregados</t>
  </si>
  <si>
    <t>DESARMADA</t>
  </si>
  <si>
    <t>12 X 36h</t>
  </si>
  <si>
    <t>Diurno/12h</t>
  </si>
  <si>
    <t xml:space="preserve">Diariamente Seg / Dom </t>
  </si>
  <si>
    <t>Noturno/12h</t>
  </si>
  <si>
    <t>ARMADA</t>
  </si>
  <si>
    <t>Qtd. de postos</t>
  </si>
  <si>
    <t>Postos</t>
  </si>
  <si>
    <t>Pessoas</t>
  </si>
  <si>
    <t xml:space="preserve">DISCRIMINAÇÃO DOS SERVIÇOS </t>
  </si>
  <si>
    <t>Valor Anual da Unidade</t>
  </si>
  <si>
    <t>Valor Unitário Mensal por Empregado</t>
  </si>
  <si>
    <t>Valor Anual do Item</t>
  </si>
  <si>
    <t>Valor Mensal do Item</t>
  </si>
  <si>
    <t xml:space="preserve">DIURNO DESARMADO - UNIFORMES </t>
  </si>
  <si>
    <t xml:space="preserve">DIURNO DESARMADO - EQUIPAMENTOS E COMPLEMENTOS </t>
  </si>
  <si>
    <t xml:space="preserve">NOTURNO DESARMADO - UNIFORMES </t>
  </si>
  <si>
    <t xml:space="preserve">NOTURNO DESARMADO - EQUIPAMENTOS E COMPLEMENTOS </t>
  </si>
  <si>
    <t>(1) estimou-se a utilização de rádios no período de uso de 24 horas diárias.  Desta
forma para cada posto foi considerado a fração de sua utilização em 50% (25% para cada empregado)</t>
  </si>
  <si>
    <t>MEMORIAL DE CÁLCULO  - EMPREGADO 12/36 - DIURNO DESARMADO</t>
  </si>
  <si>
    <t>MEMORIAL DE CÁLCULO  - EMPREGADO 12/36 - NOTURNO ARMADO</t>
  </si>
  <si>
    <t>MEMORIAL DE CÁLCULO  - EMPREGADO 12/36 - DIURNO ARMADO</t>
  </si>
  <si>
    <t>MEMORIAL DE CÁLCULO  - EMPREGADO 12/36 - NOTURNO DESARMADO</t>
  </si>
  <si>
    <t>COTURNO EM LONA E ANTIDERRAPANTE</t>
  </si>
  <si>
    <t>Item 5</t>
  </si>
  <si>
    <t>Item 6</t>
  </si>
  <si>
    <t xml:space="preserve">Vigilância armada de 5x2  (12 horas) diurnas de Segunda-Feira a Sexta </t>
  </si>
  <si>
    <t>Posto com 1 funcionário</t>
  </si>
  <si>
    <t xml:space="preserve">Vigilância desarmada de 5x2  (12 horas) diurnas de Segunda-Feira a Sexta </t>
  </si>
  <si>
    <t>Diariamente Seg / Sex</t>
  </si>
  <si>
    <t>QTD POR EMPREGADO</t>
  </si>
  <si>
    <t>L</t>
  </si>
  <si>
    <t>Memória de Cálculo do Adicional de Hora Extra (Módulo 1)</t>
  </si>
  <si>
    <t>Adicional de Hora Extra</t>
  </si>
  <si>
    <t>Divisor de Horas no mês - CCT</t>
  </si>
  <si>
    <t>Número de Horas trabalhadas / dia</t>
  </si>
  <si>
    <t xml:space="preserve">Máximo de Horas mensais sem adicional </t>
  </si>
  <si>
    <t>Total de Horas trabalhadas no mês</t>
  </si>
  <si>
    <t>Total de Horas Extras à serem pagas</t>
  </si>
  <si>
    <t>Valor Total do Adicional de Hora Extra</t>
  </si>
  <si>
    <t>Percentual Aplicado para acréscimo - CCT</t>
  </si>
  <si>
    <t>Valor de 1 (uma ) da Hora Extra</t>
  </si>
  <si>
    <t>Vigilância Noturna Desarmada - dom a dom</t>
  </si>
  <si>
    <t>Vigilância Diurno Desarmada - dom a dom</t>
  </si>
  <si>
    <t>Vigilância Noturna Armada - dom a dom</t>
  </si>
  <si>
    <t>Vigilância Diurno Armada - dom a dom</t>
  </si>
  <si>
    <t>Vigilância Diurno Armada - 12h Seg a Sex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</si>
  <si>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</si>
  <si>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MEMORIAL DE CÁLCULO  - EMPREGADO 12h seg a sex - DIURNO ARMADO</t>
  </si>
  <si>
    <t>Vigilância Diurno Desarmada - 12h Seg a Sex</t>
  </si>
  <si>
    <t>MEMORIAL DE CÁLCULO  - EMPREGADO 12h seg a sex - DIURNO DESARMADO</t>
  </si>
  <si>
    <t xml:space="preserve">Alíquota PIS/COFINS leis 10.634/2002 e 10.833/2003 </t>
  </si>
  <si>
    <t xml:space="preserve">5 x 2 - 12h e 44h seg a sex DIURNO DESARMADO - UNIFORMES </t>
  </si>
  <si>
    <t xml:space="preserve">5x2 - 12h e 44h seg a sex DIURNO ARMADO - UNIFORMES </t>
  </si>
  <si>
    <t xml:space="preserve">Desconto legal </t>
  </si>
  <si>
    <t>Desconto legal</t>
  </si>
  <si>
    <t>MEMORIAL DE CÁLCULO  - EMPREGADO 44h seg a sex - DIURNO ARMADO</t>
  </si>
  <si>
    <t>Valor do Aviso Prévio Trabalhado</t>
  </si>
  <si>
    <t>Valor da Ausencia por Acidente de Trabalho</t>
  </si>
  <si>
    <t>Valor da Ausencia por Doença</t>
  </si>
  <si>
    <t>Vigilância Diurno Desarmada - 44h Seg a Sex</t>
  </si>
  <si>
    <t>UNIDADES DO CAMPUS DA PRAIA VERMELHA  MUNICÍPIO DO RIO DE JANEIRO - RJ</t>
  </si>
  <si>
    <t xml:space="preserve"> Rio de Janeiro / RJ</t>
  </si>
  <si>
    <t>44h</t>
  </si>
  <si>
    <t>Diurno/8:48h</t>
  </si>
  <si>
    <t xml:space="preserve">5 X 2 </t>
  </si>
  <si>
    <t>Item 7</t>
  </si>
  <si>
    <t xml:space="preserve">Vigilância desarmada de 44h  (8:48 horas) diurnas de Segunda-Feira a Sexta </t>
  </si>
  <si>
    <t>Turno / Horário do posto</t>
  </si>
  <si>
    <t>Qtd de Empregados</t>
  </si>
  <si>
    <t xml:space="preserve">Vigilância armada de 12x36 horas noturnas de Segunda-Feira a Domingo </t>
  </si>
  <si>
    <t xml:space="preserve">Vigilância armada de 12x36 horas diurnas de Segunda-Feira a Domingo </t>
  </si>
  <si>
    <t>Valor Unitário Mensal por Posto</t>
  </si>
  <si>
    <t xml:space="preserve">Valor Mensal </t>
  </si>
  <si>
    <t>Valor Anual</t>
  </si>
  <si>
    <t>Valor da Multa FGTS e Contribuição Social sobre o Aviso Prévio Trabalhado</t>
  </si>
  <si>
    <t>Número de Horas Noturnas Trabalhadas ( 22:00 às 05:00 (7 horas) )</t>
  </si>
  <si>
    <t>Ajuda de Custo Sindicato Laboral - clausula Décima da CCT</t>
  </si>
  <si>
    <t>CBO:</t>
  </si>
  <si>
    <t>Piso da Categoria:</t>
  </si>
  <si>
    <t>Valor Estimado</t>
  </si>
  <si>
    <t>Total Mensal</t>
  </si>
  <si>
    <t>Total Anual</t>
  </si>
  <si>
    <t>23079.014331/2018-56</t>
  </si>
  <si>
    <t>Tx de Custeio Patronal (clausula Quinquagésima Sexta CCT)</t>
  </si>
  <si>
    <t>PLANILHA DE ESTIMATIVA DE CUSTOS DA ADMINISTRAÇÃO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</si>
  <si>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</si>
  <si>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</si>
  <si>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</si>
  <si>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</si>
  <si>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</si>
  <si>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</si>
  <si>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</si>
  <si>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</si>
  <si>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</si>
  <si>
    <t xml:space="preserve">VALOR UNIT </t>
  </si>
  <si>
    <t>CASA DA CIÊNCIA</t>
  </si>
  <si>
    <t>PRAIA VERMELHA - PORTÕES</t>
  </si>
  <si>
    <t>PRAIA VERMELHA - EEFD</t>
  </si>
  <si>
    <t>PRAIA VERMELHA - IPUB</t>
  </si>
  <si>
    <t>BINGO</t>
  </si>
  <si>
    <t>CANECÃO / FCC</t>
  </si>
  <si>
    <t>INSTITUTO DE NEUROLOGIA</t>
  </si>
  <si>
    <t>LIVRARIA DA EDITORA DA UFRJ</t>
  </si>
</sst>
</file>

<file path=xl/styles.xml><?xml version="1.0" encoding="utf-8"?>
<styleSheet xmlns="http://schemas.openxmlformats.org/spreadsheetml/2006/main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_);_(* \(#,##0\);_(* &quot;-&quot;??_);_(@_)"/>
    <numFmt numFmtId="166" formatCode="0_ ;\-0\ "/>
    <numFmt numFmtId="167" formatCode="#,##0_ ;\-#,##0\ "/>
    <numFmt numFmtId="168" formatCode="&quot;R$ &quot;#,##0.00_);\(&quot;R$ &quot;#,##0.00\)"/>
  </numFmts>
  <fonts count="27">
    <font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rgb="FFFF0000"/>
      <name val="Spranq eco sans"/>
      <family val="2"/>
    </font>
    <font>
      <b/>
      <sz val="10"/>
      <color theme="1"/>
      <name val="Spranq eco sans"/>
      <family val="2"/>
    </font>
    <font>
      <i/>
      <sz val="10"/>
      <color theme="1"/>
      <name val="Spranq eco sans"/>
      <family val="2"/>
    </font>
    <font>
      <sz val="8"/>
      <color theme="1"/>
      <name val="Spranq eco sans"/>
      <family val="2"/>
    </font>
    <font>
      <b/>
      <sz val="9"/>
      <color indexed="8"/>
      <name val="Spranq eco sans"/>
      <family val="2"/>
    </font>
    <font>
      <sz val="9"/>
      <color theme="1"/>
      <name val="Spranq eco sans"/>
      <family val="2"/>
    </font>
    <font>
      <b/>
      <sz val="9"/>
      <name val="Spranq eco sans"/>
      <family val="2"/>
    </font>
    <font>
      <sz val="9"/>
      <color indexed="8"/>
      <name val="Spranq eco sans"/>
      <family val="2"/>
    </font>
    <font>
      <b/>
      <sz val="10"/>
      <color theme="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sz val="8"/>
      <name val="Spranq eco sans"/>
      <family val="2"/>
    </font>
    <font>
      <sz val="10"/>
      <name val="Spranq eco sans"/>
      <family val="2"/>
    </font>
    <font>
      <b/>
      <sz val="11"/>
      <color theme="0"/>
      <name val="Spranq eco sans"/>
      <family val="2"/>
    </font>
    <font>
      <b/>
      <sz val="9"/>
      <color theme="0"/>
      <name val="Spranq eco sans"/>
      <family val="2"/>
    </font>
    <font>
      <b/>
      <sz val="7"/>
      <color theme="0"/>
      <name val="Spranq eco sans"/>
      <family val="2"/>
    </font>
    <font>
      <sz val="11"/>
      <color theme="1"/>
      <name val="Calibri"/>
      <family val="2"/>
    </font>
    <font>
      <b/>
      <sz val="13"/>
      <color theme="1"/>
      <name val="Spranq eco sans"/>
      <family val="2"/>
    </font>
    <font>
      <sz val="7"/>
      <color theme="1"/>
      <name val="Spranq eco sans"/>
      <family val="2"/>
    </font>
    <font>
      <b/>
      <sz val="8"/>
      <color theme="0"/>
      <name val="Spranq eco sans"/>
      <family val="2"/>
    </font>
    <font>
      <b/>
      <i/>
      <sz val="10"/>
      <color theme="1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  <font>
      <sz val="11"/>
      <color theme="1"/>
      <name val="Spranq eco sans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 applyFill="1" applyBorder="1" applyAlignment="1"/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44" fontId="0" fillId="0" borderId="1" xfId="1" applyFont="1" applyBorder="1" applyAlignment="1">
      <alignment horizontal="right" vertical="center"/>
    </xf>
    <xf numFmtId="44" fontId="0" fillId="0" borderId="1" xfId="1" applyFont="1" applyBorder="1"/>
    <xf numFmtId="44" fontId="3" fillId="2" borderId="1" xfId="1" applyFont="1" applyFill="1" applyBorder="1"/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vertical="center"/>
    </xf>
    <xf numFmtId="10" fontId="0" fillId="0" borderId="0" xfId="2" applyNumberFormat="1" applyFont="1"/>
    <xf numFmtId="10" fontId="3" fillId="2" borderId="1" xfId="2" applyNumberFormat="1" applyFont="1" applyFill="1" applyBorder="1" applyAlignment="1">
      <alignment vertical="center"/>
    </xf>
    <xf numFmtId="10" fontId="0" fillId="0" borderId="1" xfId="2" applyNumberFormat="1" applyFont="1" applyBorder="1"/>
    <xf numFmtId="44" fontId="0" fillId="0" borderId="1" xfId="0" applyNumberFormat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4" borderId="1" xfId="0" applyFont="1" applyFill="1" applyBorder="1"/>
    <xf numFmtId="0" fontId="0" fillId="0" borderId="1" xfId="0" applyFont="1" applyFill="1" applyBorder="1"/>
    <xf numFmtId="44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0" fontId="0" fillId="0" borderId="1" xfId="2" applyNumberFormat="1" applyFon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4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Border="1"/>
    <xf numFmtId="44" fontId="4" fillId="0" borderId="1" xfId="1" applyFont="1" applyBorder="1"/>
    <xf numFmtId="0" fontId="0" fillId="3" borderId="1" xfId="0" applyFont="1" applyFill="1" applyBorder="1"/>
    <xf numFmtId="10" fontId="1" fillId="3" borderId="1" xfId="2" applyNumberFormat="1" applyFont="1" applyFill="1" applyBorder="1"/>
    <xf numFmtId="44" fontId="1" fillId="3" borderId="1" xfId="1" applyFont="1" applyFill="1" applyBorder="1"/>
    <xf numFmtId="10" fontId="4" fillId="0" borderId="1" xfId="2" applyNumberFormat="1" applyFont="1" applyFill="1" applyBorder="1"/>
    <xf numFmtId="10" fontId="3" fillId="2" borderId="1" xfId="2" applyNumberFormat="1" applyFont="1" applyFill="1" applyBorder="1" applyAlignment="1">
      <alignment horizontal="left" vertical="center"/>
    </xf>
    <xf numFmtId="44" fontId="3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10" fontId="0" fillId="0" borderId="1" xfId="0" applyNumberFormat="1" applyBorder="1"/>
    <xf numFmtId="44" fontId="3" fillId="4" borderId="1" xfId="1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39" fontId="1" fillId="0" borderId="1" xfId="1" applyNumberFormat="1" applyFont="1" applyBorder="1"/>
    <xf numFmtId="0" fontId="0" fillId="5" borderId="1" xfId="0" applyFill="1" applyBorder="1"/>
    <xf numFmtId="44" fontId="0" fillId="5" borderId="1" xfId="0" applyNumberFormat="1" applyFill="1" applyBorder="1"/>
    <xf numFmtId="10" fontId="0" fillId="5" borderId="1" xfId="2" applyNumberFormat="1" applyFont="1" applyFill="1" applyBorder="1"/>
    <xf numFmtId="0" fontId="0" fillId="0" borderId="1" xfId="0" applyFont="1" applyFill="1" applyBorder="1" applyAlignment="1">
      <alignment horizontal="left"/>
    </xf>
    <xf numFmtId="4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3" fillId="4" borderId="1" xfId="0" applyFont="1" applyFill="1" applyBorder="1" applyAlignment="1">
      <alignment horizontal="left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0" fillId="0" borderId="0" xfId="0" applyAlignment="1">
      <alignment wrapText="1"/>
    </xf>
    <xf numFmtId="8" fontId="0" fillId="0" borderId="1" xfId="0" applyNumberFormat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4" fontId="3" fillId="4" borderId="1" xfId="0" applyNumberFormat="1" applyFont="1" applyFill="1" applyBorder="1"/>
    <xf numFmtId="44" fontId="3" fillId="0" borderId="1" xfId="1" applyFont="1" applyBorder="1"/>
    <xf numFmtId="44" fontId="3" fillId="6" borderId="1" xfId="1" applyFont="1" applyFill="1" applyBorder="1"/>
    <xf numFmtId="0" fontId="0" fillId="6" borderId="1" xfId="0" applyFill="1" applyBorder="1"/>
    <xf numFmtId="0" fontId="0" fillId="0" borderId="8" xfId="0" applyFill="1" applyBorder="1" applyAlignment="1">
      <alignment horizontal="left" vertical="center"/>
    </xf>
    <xf numFmtId="0" fontId="0" fillId="0" borderId="0" xfId="0" applyFill="1" applyBorder="1"/>
    <xf numFmtId="8" fontId="0" fillId="0" borderId="1" xfId="0" applyNumberFormat="1" applyFill="1" applyBorder="1"/>
    <xf numFmtId="10" fontId="0" fillId="0" borderId="0" xfId="2" applyNumberFormat="1" applyFont="1" applyFill="1" applyBorder="1"/>
    <xf numFmtId="0" fontId="3" fillId="0" borderId="0" xfId="0" applyFont="1" applyAlignment="1">
      <alignment horizontal="left" vertical="center"/>
    </xf>
    <xf numFmtId="10" fontId="3" fillId="2" borderId="4" xfId="0" applyNumberFormat="1" applyFont="1" applyFill="1" applyBorder="1" applyAlignment="1">
      <alignment vertical="center"/>
    </xf>
    <xf numFmtId="44" fontId="3" fillId="6" borderId="1" xfId="0" applyNumberFormat="1" applyFont="1" applyFill="1" applyBorder="1" applyAlignment="1">
      <alignment horizontal="left" vertical="center"/>
    </xf>
    <xf numFmtId="44" fontId="10" fillId="8" borderId="1" xfId="0" applyNumberFormat="1" applyFont="1" applyFill="1" applyBorder="1"/>
    <xf numFmtId="0" fontId="0" fillId="0" borderId="1" xfId="0" applyBorder="1" applyAlignment="1"/>
    <xf numFmtId="166" fontId="0" fillId="0" borderId="1" xfId="0" applyNumberFormat="1" applyBorder="1"/>
    <xf numFmtId="166" fontId="0" fillId="5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/>
    <xf numFmtId="44" fontId="0" fillId="0" borderId="0" xfId="0" applyNumberFormat="1"/>
    <xf numFmtId="0" fontId="0" fillId="0" borderId="2" xfId="0" applyBorder="1" applyAlignment="1">
      <alignment vertical="center"/>
    </xf>
    <xf numFmtId="44" fontId="0" fillId="0" borderId="1" xfId="2" applyNumberFormat="1" applyFont="1" applyBorder="1"/>
    <xf numFmtId="44" fontId="0" fillId="5" borderId="1" xfId="1" applyFont="1" applyFill="1" applyBorder="1"/>
    <xf numFmtId="2" fontId="0" fillId="0" borderId="1" xfId="0" applyNumberFormat="1" applyBorder="1"/>
    <xf numFmtId="44" fontId="0" fillId="0" borderId="1" xfId="1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/>
    </xf>
    <xf numFmtId="9" fontId="0" fillId="0" borderId="1" xfId="2" applyFont="1" applyBorder="1" applyAlignment="1">
      <alignment vertical="center"/>
    </xf>
    <xf numFmtId="0" fontId="0" fillId="0" borderId="9" xfId="0" applyBorder="1" applyAlignment="1"/>
    <xf numFmtId="0" fontId="0" fillId="0" borderId="0" xfId="0" applyBorder="1" applyAlignment="1"/>
    <xf numFmtId="39" fontId="5" fillId="0" borderId="0" xfId="1" quotePrefix="1" applyNumberFormat="1" applyFont="1" applyBorder="1"/>
    <xf numFmtId="0" fontId="4" fillId="5" borderId="1" xfId="0" applyFont="1" applyFill="1" applyBorder="1" applyAlignment="1">
      <alignment horizontal="center"/>
    </xf>
    <xf numFmtId="44" fontId="4" fillId="0" borderId="1" xfId="0" applyNumberFormat="1" applyFont="1" applyFill="1" applyBorder="1" applyAlignment="1">
      <alignment horizontal="center"/>
    </xf>
    <xf numFmtId="0" fontId="4" fillId="5" borderId="1" xfId="0" applyFont="1" applyFill="1" applyBorder="1"/>
    <xf numFmtId="44" fontId="4" fillId="0" borderId="1" xfId="2" applyNumberFormat="1" applyFont="1" applyBorder="1"/>
    <xf numFmtId="0" fontId="0" fillId="0" borderId="1" xfId="0" applyFill="1" applyBorder="1" applyAlignment="1">
      <alignment wrapText="1"/>
    </xf>
    <xf numFmtId="0" fontId="4" fillId="0" borderId="1" xfId="0" applyFont="1" applyFill="1" applyBorder="1"/>
    <xf numFmtId="44" fontId="4" fillId="0" borderId="1" xfId="0" applyNumberFormat="1" applyFont="1" applyBorder="1"/>
    <xf numFmtId="0" fontId="0" fillId="0" borderId="1" xfId="0" applyFont="1" applyFill="1" applyBorder="1" applyAlignment="1">
      <alignment horizontal="right"/>
    </xf>
    <xf numFmtId="0" fontId="0" fillId="0" borderId="7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0" fillId="0" borderId="0" xfId="0" applyNumberFormat="1"/>
    <xf numFmtId="8" fontId="3" fillId="2" borderId="1" xfId="1" applyNumberFormat="1" applyFont="1" applyFill="1" applyBorder="1"/>
    <xf numFmtId="0" fontId="0" fillId="0" borderId="1" xfId="0" applyFont="1" applyBorder="1"/>
    <xf numFmtId="44" fontId="3" fillId="6" borderId="1" xfId="0" applyNumberFormat="1" applyFont="1" applyFill="1" applyBorder="1"/>
    <xf numFmtId="167" fontId="0" fillId="0" borderId="1" xfId="0" applyNumberFormat="1" applyBorder="1"/>
    <xf numFmtId="10" fontId="0" fillId="9" borderId="1" xfId="2" applyNumberFormat="1" applyFont="1" applyFill="1" applyBorder="1"/>
    <xf numFmtId="0" fontId="0" fillId="9" borderId="1" xfId="0" applyFill="1" applyBorder="1" applyAlignment="1">
      <alignment horizontal="left" wrapText="1"/>
    </xf>
    <xf numFmtId="0" fontId="0" fillId="9" borderId="1" xfId="0" applyFill="1" applyBorder="1"/>
    <xf numFmtId="0" fontId="0" fillId="9" borderId="1" xfId="0" applyFont="1" applyFill="1" applyBorder="1" applyAlignment="1">
      <alignment horizontal="left" wrapText="1"/>
    </xf>
    <xf numFmtId="44" fontId="0" fillId="0" borderId="1" xfId="0" applyNumberFormat="1" applyFill="1" applyBorder="1"/>
    <xf numFmtId="0" fontId="0" fillId="0" borderId="0" xfId="0" applyAlignment="1">
      <alignment vertical="top" wrapText="1"/>
    </xf>
    <xf numFmtId="44" fontId="0" fillId="0" borderId="1" xfId="1" applyFont="1" applyFill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44" fontId="3" fillId="2" borderId="1" xfId="1" applyNumberFormat="1" applyFont="1" applyFill="1" applyBorder="1"/>
    <xf numFmtId="168" fontId="13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horizontal="left" vertical="center"/>
    </xf>
    <xf numFmtId="0" fontId="7" fillId="0" borderId="0" xfId="0" applyFont="1" applyFill="1" applyAlignment="1"/>
    <xf numFmtId="164" fontId="7" fillId="0" borderId="0" xfId="1" applyNumberFormat="1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right" vertical="top"/>
    </xf>
    <xf numFmtId="164" fontId="7" fillId="0" borderId="1" xfId="1" applyNumberFormat="1" applyFont="1" applyFill="1" applyBorder="1" applyAlignment="1"/>
    <xf numFmtId="0" fontId="0" fillId="0" borderId="0" xfId="0" applyFill="1" applyAlignment="1"/>
    <xf numFmtId="164" fontId="7" fillId="0" borderId="0" xfId="1" applyNumberFormat="1" applyFont="1" applyFill="1" applyBorder="1" applyAlignment="1"/>
    <xf numFmtId="164" fontId="7" fillId="0" borderId="1" xfId="0" applyNumberFormat="1" applyFont="1" applyFill="1" applyBorder="1" applyAlignment="1"/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7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14" fontId="0" fillId="0" borderId="0" xfId="0" applyNumberFormat="1"/>
    <xf numFmtId="0" fontId="18" fillId="0" borderId="0" xfId="0" applyFont="1"/>
    <xf numFmtId="0" fontId="10" fillId="10" borderId="7" xfId="0" applyFont="1" applyFill="1" applyBorder="1" applyAlignment="1">
      <alignment horizontal="center" wrapText="1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vertical="center"/>
    </xf>
    <xf numFmtId="0" fontId="0" fillId="12" borderId="1" xfId="0" applyFill="1" applyBorder="1" applyAlignment="1">
      <alignment horizontal="left" vertical="center"/>
    </xf>
    <xf numFmtId="0" fontId="0" fillId="12" borderId="1" xfId="0" applyFill="1" applyBorder="1" applyAlignment="1">
      <alignment vertical="center"/>
    </xf>
    <xf numFmtId="0" fontId="0" fillId="13" borderId="1" xfId="0" applyFill="1" applyBorder="1" applyAlignment="1">
      <alignment vertical="center"/>
    </xf>
    <xf numFmtId="0" fontId="0" fillId="13" borderId="1" xfId="0" applyFill="1" applyBorder="1" applyAlignment="1">
      <alignment horizontal="left" vertical="center"/>
    </xf>
    <xf numFmtId="0" fontId="0" fillId="14" borderId="1" xfId="0" applyFill="1" applyBorder="1" applyAlignment="1">
      <alignment vertical="center"/>
    </xf>
    <xf numFmtId="0" fontId="0" fillId="14" borderId="1" xfId="0" applyFill="1" applyBorder="1" applyAlignment="1">
      <alignment horizontal="left" vertical="center"/>
    </xf>
    <xf numFmtId="0" fontId="16" fillId="10" borderId="18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15" borderId="1" xfId="0" applyFill="1" applyBorder="1" applyAlignment="1">
      <alignment horizontal="left" vertical="center"/>
    </xf>
    <xf numFmtId="0" fontId="0" fillId="15" borderId="1" xfId="0" applyFill="1" applyBorder="1" applyAlignment="1">
      <alignment vertical="center"/>
    </xf>
    <xf numFmtId="164" fontId="7" fillId="9" borderId="1" xfId="1" applyNumberFormat="1" applyFont="1" applyFill="1" applyBorder="1" applyAlignment="1"/>
    <xf numFmtId="39" fontId="0" fillId="0" borderId="1" xfId="0" applyNumberFormat="1" applyBorder="1"/>
    <xf numFmtId="44" fontId="4" fillId="0" borderId="1" xfId="1" applyFont="1" applyFill="1" applyBorder="1"/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16" borderId="1" xfId="0" applyFill="1" applyBorder="1"/>
    <xf numFmtId="44" fontId="0" fillId="16" borderId="1" xfId="1" applyFont="1" applyFill="1" applyBorder="1"/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17" borderId="1" xfId="0" applyFill="1" applyBorder="1" applyAlignment="1">
      <alignment horizontal="left" vertical="center"/>
    </xf>
    <xf numFmtId="0" fontId="0" fillId="17" borderId="1" xfId="0" applyFill="1" applyBorder="1" applyAlignment="1">
      <alignment vertical="center"/>
    </xf>
    <xf numFmtId="0" fontId="20" fillId="15" borderId="1" xfId="0" applyFont="1" applyFill="1" applyBorder="1"/>
    <xf numFmtId="0" fontId="7" fillId="15" borderId="1" xfId="0" applyFont="1" applyFill="1" applyBorder="1"/>
    <xf numFmtId="0" fontId="5" fillId="15" borderId="1" xfId="0" applyFont="1" applyFill="1" applyBorder="1"/>
    <xf numFmtId="0" fontId="0" fillId="15" borderId="1" xfId="0" applyFill="1" applyBorder="1"/>
    <xf numFmtId="0" fontId="7" fillId="19" borderId="1" xfId="0" applyFont="1" applyFill="1" applyBorder="1"/>
    <xf numFmtId="0" fontId="5" fillId="19" borderId="1" xfId="0" applyFont="1" applyFill="1" applyBorder="1"/>
    <xf numFmtId="0" fontId="0" fillId="19" borderId="1" xfId="0" applyFill="1" applyBorder="1"/>
    <xf numFmtId="0" fontId="20" fillId="21" borderId="1" xfId="0" applyFont="1" applyFill="1" applyBorder="1"/>
    <xf numFmtId="0" fontId="7" fillId="21" borderId="1" xfId="0" applyFont="1" applyFill="1" applyBorder="1"/>
    <xf numFmtId="0" fontId="5" fillId="21" borderId="1" xfId="0" applyFont="1" applyFill="1" applyBorder="1"/>
    <xf numFmtId="0" fontId="0" fillId="21" borderId="1" xfId="0" applyFill="1" applyBorder="1"/>
    <xf numFmtId="0" fontId="7" fillId="12" borderId="1" xfId="0" applyFont="1" applyFill="1" applyBorder="1"/>
    <xf numFmtId="0" fontId="5" fillId="12" borderId="1" xfId="0" applyFont="1" applyFill="1" applyBorder="1"/>
    <xf numFmtId="0" fontId="0" fillId="12" borderId="1" xfId="0" applyFill="1" applyBorder="1"/>
    <xf numFmtId="0" fontId="16" fillId="10" borderId="0" xfId="0" applyFont="1" applyFill="1" applyBorder="1" applyAlignment="1">
      <alignment horizontal="left"/>
    </xf>
    <xf numFmtId="0" fontId="0" fillId="0" borderId="1" xfId="0" applyBorder="1" applyAlignment="1">
      <alignment horizontal="right" vertical="center" wrapText="1"/>
    </xf>
    <xf numFmtId="44" fontId="0" fillId="0" borderId="1" xfId="0" applyNumberFormat="1" applyBorder="1" applyAlignment="1">
      <alignment horizontal="right" vertical="center" wrapText="1"/>
    </xf>
    <xf numFmtId="44" fontId="0" fillId="0" borderId="1" xfId="1" applyFont="1" applyBorder="1" applyAlignment="1">
      <alignment horizontal="right" vertical="center" wrapText="1"/>
    </xf>
    <xf numFmtId="44" fontId="0" fillId="0" borderId="2" xfId="0" applyNumberFormat="1" applyBorder="1" applyAlignment="1">
      <alignment horizontal="right" vertical="center" wrapText="1"/>
    </xf>
    <xf numFmtId="44" fontId="10" fillId="10" borderId="1" xfId="0" applyNumberFormat="1" applyFont="1" applyFill="1" applyBorder="1"/>
    <xf numFmtId="0" fontId="17" fillId="10" borderId="7" xfId="0" applyFont="1" applyFill="1" applyBorder="1" applyAlignment="1">
      <alignment horizontal="center" vertical="center" wrapText="1"/>
    </xf>
    <xf numFmtId="0" fontId="21" fillId="10" borderId="7" xfId="0" applyFont="1" applyFill="1" applyBorder="1" applyAlignment="1">
      <alignment horizontal="center" vertical="center" wrapText="1"/>
    </xf>
    <xf numFmtId="0" fontId="20" fillId="20" borderId="17" xfId="0" applyFont="1" applyFill="1" applyBorder="1"/>
    <xf numFmtId="0" fontId="7" fillId="20" borderId="17" xfId="0" applyFont="1" applyFill="1" applyBorder="1"/>
    <xf numFmtId="0" fontId="5" fillId="20" borderId="17" xfId="0" applyFont="1" applyFill="1" applyBorder="1"/>
    <xf numFmtId="0" fontId="0" fillId="20" borderId="17" xfId="0" applyFill="1" applyBorder="1"/>
    <xf numFmtId="44" fontId="0" fillId="0" borderId="17" xfId="0" applyNumberFormat="1" applyBorder="1" applyAlignment="1">
      <alignment horizontal="right" vertical="center" wrapText="1"/>
    </xf>
    <xf numFmtId="44" fontId="0" fillId="0" borderId="32" xfId="0" applyNumberFormat="1" applyBorder="1" applyAlignment="1">
      <alignment horizontal="right" vertical="center" wrapText="1"/>
    </xf>
    <xf numFmtId="44" fontId="0" fillId="0" borderId="17" xfId="1" applyFont="1" applyBorder="1"/>
    <xf numFmtId="0" fontId="0" fillId="0" borderId="27" xfId="0" applyBorder="1"/>
    <xf numFmtId="0" fontId="0" fillId="0" borderId="21" xfId="0" applyBorder="1"/>
    <xf numFmtId="0" fontId="20" fillId="22" borderId="24" xfId="0" applyFont="1" applyFill="1" applyBorder="1"/>
    <xf numFmtId="0" fontId="7" fillId="22" borderId="24" xfId="0" applyFont="1" applyFill="1" applyBorder="1"/>
    <xf numFmtId="0" fontId="5" fillId="22" borderId="24" xfId="0" applyFont="1" applyFill="1" applyBorder="1"/>
    <xf numFmtId="0" fontId="0" fillId="22" borderId="24" xfId="0" applyFill="1" applyBorder="1"/>
    <xf numFmtId="44" fontId="0" fillId="0" borderId="24" xfId="0" applyNumberFormat="1" applyBorder="1" applyAlignment="1">
      <alignment horizontal="right" vertical="center" wrapText="1"/>
    </xf>
    <xf numFmtId="44" fontId="0" fillId="0" borderId="33" xfId="0" applyNumberFormat="1" applyBorder="1" applyAlignment="1">
      <alignment horizontal="right" vertical="center" wrapText="1"/>
    </xf>
    <xf numFmtId="44" fontId="0" fillId="0" borderId="24" xfId="1" applyFont="1" applyBorder="1"/>
    <xf numFmtId="0" fontId="20" fillId="18" borderId="17" xfId="0" applyFont="1" applyFill="1" applyBorder="1"/>
    <xf numFmtId="0" fontId="7" fillId="18" borderId="17" xfId="0" applyFont="1" applyFill="1" applyBorder="1"/>
    <xf numFmtId="0" fontId="5" fillId="18" borderId="17" xfId="0" applyFont="1" applyFill="1" applyBorder="1"/>
    <xf numFmtId="0" fontId="0" fillId="18" borderId="17" xfId="0" applyFill="1" applyBorder="1"/>
    <xf numFmtId="0" fontId="20" fillId="19" borderId="24" xfId="0" applyFont="1" applyFill="1" applyBorder="1"/>
    <xf numFmtId="0" fontId="7" fillId="19" borderId="24" xfId="0" applyFont="1" applyFill="1" applyBorder="1"/>
    <xf numFmtId="0" fontId="5" fillId="19" borderId="24" xfId="0" applyFont="1" applyFill="1" applyBorder="1"/>
    <xf numFmtId="0" fontId="0" fillId="19" borderId="24" xfId="0" applyFill="1" applyBorder="1"/>
    <xf numFmtId="0" fontId="20" fillId="15" borderId="24" xfId="0" applyFont="1" applyFill="1" applyBorder="1"/>
    <xf numFmtId="0" fontId="7" fillId="15" borderId="24" xfId="0" applyFont="1" applyFill="1" applyBorder="1"/>
    <xf numFmtId="0" fontId="5" fillId="15" borderId="24" xfId="0" applyFont="1" applyFill="1" applyBorder="1"/>
    <xf numFmtId="0" fontId="0" fillId="15" borderId="24" xfId="0" applyFill="1" applyBorder="1"/>
    <xf numFmtId="0" fontId="20" fillId="12" borderId="24" xfId="0" applyFont="1" applyFill="1" applyBorder="1"/>
    <xf numFmtId="0" fontId="7" fillId="12" borderId="24" xfId="0" applyFont="1" applyFill="1" applyBorder="1"/>
    <xf numFmtId="0" fontId="5" fillId="12" borderId="24" xfId="0" applyFont="1" applyFill="1" applyBorder="1"/>
    <xf numFmtId="0" fontId="0" fillId="12" borderId="24" xfId="0" applyFill="1" applyBorder="1"/>
    <xf numFmtId="0" fontId="20" fillId="21" borderId="24" xfId="0" applyFont="1" applyFill="1" applyBorder="1"/>
    <xf numFmtId="0" fontId="7" fillId="21" borderId="24" xfId="0" applyFont="1" applyFill="1" applyBorder="1"/>
    <xf numFmtId="0" fontId="5" fillId="21" borderId="24" xfId="0" applyFont="1" applyFill="1" applyBorder="1"/>
    <xf numFmtId="0" fontId="0" fillId="21" borderId="24" xfId="0" applyFill="1" applyBorder="1"/>
    <xf numFmtId="0" fontId="16" fillId="10" borderId="30" xfId="0" applyFont="1" applyFill="1" applyBorder="1" applyAlignment="1">
      <alignment horizontal="left"/>
    </xf>
    <xf numFmtId="44" fontId="0" fillId="0" borderId="31" xfId="0" applyNumberFormat="1" applyBorder="1" applyAlignment="1">
      <alignment horizontal="right" vertical="center" wrapText="1"/>
    </xf>
    <xf numFmtId="44" fontId="0" fillId="0" borderId="31" xfId="1" applyFont="1" applyBorder="1"/>
    <xf numFmtId="44" fontId="0" fillId="0" borderId="34" xfId="0" applyNumberFormat="1" applyFont="1" applyBorder="1"/>
    <xf numFmtId="0" fontId="0" fillId="0" borderId="27" xfId="0" applyFont="1" applyBorder="1"/>
    <xf numFmtId="0" fontId="0" fillId="0" borderId="21" xfId="0" applyFont="1" applyBorder="1"/>
    <xf numFmtId="44" fontId="0" fillId="0" borderId="39" xfId="0" applyNumberFormat="1" applyFont="1" applyBorder="1"/>
    <xf numFmtId="0" fontId="8" fillId="0" borderId="0" xfId="0" applyFont="1" applyFill="1" applyBorder="1" applyAlignment="1">
      <alignment vertical="center" wrapText="1"/>
    </xf>
    <xf numFmtId="0" fontId="16" fillId="10" borderId="40" xfId="0" applyFont="1" applyFill="1" applyBorder="1" applyAlignment="1">
      <alignment horizontal="center" vertical="center" wrapText="1"/>
    </xf>
    <xf numFmtId="0" fontId="20" fillId="18" borderId="28" xfId="0" applyFont="1" applyFill="1" applyBorder="1"/>
    <xf numFmtId="0" fontId="0" fillId="18" borderId="29" xfId="0" applyFill="1" applyBorder="1"/>
    <xf numFmtId="0" fontId="20" fillId="15" borderId="20" xfId="0" applyFont="1" applyFill="1" applyBorder="1"/>
    <xf numFmtId="0" fontId="0" fillId="15" borderId="22" xfId="0" applyFill="1" applyBorder="1"/>
    <xf numFmtId="0" fontId="20" fillId="19" borderId="20" xfId="0" applyFont="1" applyFill="1" applyBorder="1"/>
    <xf numFmtId="0" fontId="20" fillId="20" borderId="28" xfId="0" applyFont="1" applyFill="1" applyBorder="1"/>
    <xf numFmtId="0" fontId="0" fillId="20" borderId="29" xfId="0" applyFill="1" applyBorder="1"/>
    <xf numFmtId="0" fontId="20" fillId="21" borderId="20" xfId="0" applyFont="1" applyFill="1" applyBorder="1"/>
    <xf numFmtId="0" fontId="0" fillId="21" borderId="22" xfId="0" applyFill="1" applyBorder="1"/>
    <xf numFmtId="0" fontId="20" fillId="12" borderId="20" xfId="0" applyFont="1" applyFill="1" applyBorder="1"/>
    <xf numFmtId="0" fontId="0" fillId="12" borderId="22" xfId="0" applyFill="1" applyBorder="1"/>
    <xf numFmtId="0" fontId="20" fillId="22" borderId="23" xfId="0" applyFont="1" applyFill="1" applyBorder="1"/>
    <xf numFmtId="0" fontId="0" fillId="22" borderId="25" xfId="0" applyFill="1" applyBorder="1"/>
    <xf numFmtId="0" fontId="0" fillId="19" borderId="25" xfId="0" applyFill="1" applyBorder="1"/>
    <xf numFmtId="0" fontId="0" fillId="15" borderId="25" xfId="0" applyFill="1" applyBorder="1"/>
    <xf numFmtId="0" fontId="0" fillId="12" borderId="25" xfId="0" applyFill="1" applyBorder="1"/>
    <xf numFmtId="0" fontId="0" fillId="21" borderId="25" xfId="0" applyFill="1" applyBorder="1"/>
    <xf numFmtId="0" fontId="10" fillId="10" borderId="30" xfId="0" applyFont="1" applyFill="1" applyBorder="1"/>
    <xf numFmtId="44" fontId="10" fillId="10" borderId="30" xfId="0" applyNumberFormat="1" applyFont="1" applyFill="1" applyBorder="1"/>
    <xf numFmtId="44" fontId="10" fillId="10" borderId="41" xfId="0" applyNumberFormat="1" applyFont="1" applyFill="1" applyBorder="1"/>
    <xf numFmtId="0" fontId="10" fillId="10" borderId="41" xfId="0" applyFont="1" applyFill="1" applyBorder="1"/>
    <xf numFmtId="0" fontId="10" fillId="1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10" borderId="18" xfId="0" applyFont="1" applyFill="1" applyBorder="1" applyAlignment="1">
      <alignment horizontal="center" vertical="center" wrapText="1"/>
    </xf>
    <xf numFmtId="44" fontId="0" fillId="0" borderId="0" xfId="1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9" borderId="44" xfId="0" applyFill="1" applyBorder="1" applyAlignment="1">
      <alignment horizontal="left" vertical="center" wrapText="1"/>
    </xf>
    <xf numFmtId="0" fontId="26" fillId="0" borderId="0" xfId="0" applyFont="1"/>
    <xf numFmtId="44" fontId="0" fillId="9" borderId="1" xfId="0" applyNumberFormat="1" applyFill="1" applyBorder="1"/>
    <xf numFmtId="168" fontId="14" fillId="9" borderId="1" xfId="0" applyNumberFormat="1" applyFont="1" applyFill="1" applyBorder="1" applyAlignment="1">
      <alignment vertical="center" wrapText="1"/>
    </xf>
    <xf numFmtId="165" fontId="7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164" fontId="7" fillId="0" borderId="0" xfId="1" applyNumberFormat="1" applyFont="1" applyFill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4" fontId="0" fillId="9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0" fillId="9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25" fillId="0" borderId="30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  <xf numFmtId="0" fontId="25" fillId="0" borderId="41" xfId="0" applyFont="1" applyBorder="1" applyAlignment="1">
      <alignment horizontal="left" vertical="center"/>
    </xf>
    <xf numFmtId="0" fontId="25" fillId="0" borderId="42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/>
    </xf>
    <xf numFmtId="0" fontId="25" fillId="0" borderId="44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 wrapText="1"/>
    </xf>
    <xf numFmtId="0" fontId="13" fillId="9" borderId="1" xfId="0" applyFont="1" applyFill="1" applyBorder="1" applyAlignment="1" applyProtection="1">
      <alignment horizontal="left" vertical="top" wrapText="1"/>
      <protection locked="0"/>
    </xf>
    <xf numFmtId="0" fontId="15" fillId="10" borderId="1" xfId="0" applyFont="1" applyFill="1" applyBorder="1" applyAlignment="1">
      <alignment horizontal="center"/>
    </xf>
    <xf numFmtId="0" fontId="10" fillId="10" borderId="11" xfId="0" applyFont="1" applyFill="1" applyBorder="1" applyAlignment="1">
      <alignment vertical="center"/>
    </xf>
    <xf numFmtId="0" fontId="10" fillId="10" borderId="12" xfId="0" applyFont="1" applyFill="1" applyBorder="1" applyAlignment="1">
      <alignment vertical="center"/>
    </xf>
    <xf numFmtId="0" fontId="10" fillId="10" borderId="14" xfId="0" applyFont="1" applyFill="1" applyBorder="1" applyAlignment="1">
      <alignment vertical="center"/>
    </xf>
    <xf numFmtId="0" fontId="10" fillId="10" borderId="35" xfId="0" applyFont="1" applyFill="1" applyBorder="1" applyAlignment="1">
      <alignment vertical="center"/>
    </xf>
    <xf numFmtId="0" fontId="10" fillId="10" borderId="45" xfId="0" applyFont="1" applyFill="1" applyBorder="1" applyAlignment="1">
      <alignment vertical="center"/>
    </xf>
    <xf numFmtId="0" fontId="10" fillId="10" borderId="38" xfId="0" applyFont="1" applyFill="1" applyBorder="1" applyAlignment="1">
      <alignment vertical="center"/>
    </xf>
    <xf numFmtId="0" fontId="16" fillId="10" borderId="15" xfId="0" applyFont="1" applyFill="1" applyBorder="1" applyAlignment="1">
      <alignment horizontal="left" vertical="center"/>
    </xf>
    <xf numFmtId="0" fontId="16" fillId="10" borderId="16" xfId="0" applyFont="1" applyFill="1" applyBorder="1" applyAlignment="1">
      <alignment horizontal="left" vertical="center"/>
    </xf>
    <xf numFmtId="0" fontId="16" fillId="10" borderId="36" xfId="0" applyFont="1" applyFill="1" applyBorder="1" applyAlignment="1">
      <alignment horizontal="left" vertical="center"/>
    </xf>
    <xf numFmtId="0" fontId="16" fillId="10" borderId="35" xfId="0" applyFont="1" applyFill="1" applyBorder="1" applyAlignment="1">
      <alignment horizontal="left" vertical="center"/>
    </xf>
    <xf numFmtId="0" fontId="16" fillId="10" borderId="37" xfId="0" applyFont="1" applyFill="1" applyBorder="1" applyAlignment="1">
      <alignment horizontal="left" vertical="center"/>
    </xf>
    <xf numFmtId="0" fontId="16" fillId="10" borderId="38" xfId="0" applyFont="1" applyFill="1" applyBorder="1" applyAlignment="1">
      <alignment horizontal="left" vertical="center"/>
    </xf>
    <xf numFmtId="0" fontId="10" fillId="10" borderId="14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0" fillId="10" borderId="17" xfId="0" applyFont="1" applyFill="1" applyBorder="1" applyAlignment="1">
      <alignment horizontal="center" wrapText="1"/>
    </xf>
    <xf numFmtId="0" fontId="16" fillId="10" borderId="26" xfId="0" applyFont="1" applyFill="1" applyBorder="1" applyAlignment="1">
      <alignment horizontal="center" vertical="center" wrapText="1"/>
    </xf>
    <xf numFmtId="0" fontId="16" fillId="10" borderId="0" xfId="0" applyFont="1" applyFill="1" applyBorder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center" vertical="center" wrapText="1"/>
    </xf>
    <xf numFmtId="0" fontId="16" fillId="10" borderId="27" xfId="0" applyFont="1" applyFill="1" applyBorder="1" applyAlignment="1">
      <alignment horizontal="center" vertical="center" wrapText="1"/>
    </xf>
    <xf numFmtId="0" fontId="16" fillId="10" borderId="2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0" fillId="8" borderId="0" xfId="0" applyFont="1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7" borderId="0" xfId="0" applyFont="1" applyFill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7" fontId="0" fillId="11" borderId="2" xfId="0" applyNumberFormat="1" applyFill="1" applyBorder="1" applyAlignment="1">
      <alignment horizontal="right" vertical="center"/>
    </xf>
    <xf numFmtId="0" fontId="0" fillId="11" borderId="4" xfId="0" applyFill="1" applyBorder="1" applyAlignment="1">
      <alignment horizontal="right" vertical="center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3" fillId="11" borderId="2" xfId="0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0" fillId="11" borderId="2" xfId="0" applyFill="1" applyBorder="1" applyAlignment="1">
      <alignment horizontal="right" vertical="center"/>
    </xf>
    <xf numFmtId="44" fontId="0" fillId="9" borderId="1" xfId="1" applyFont="1" applyFill="1" applyBorder="1" applyAlignment="1">
      <alignment horizontal="left" vertical="center"/>
    </xf>
    <xf numFmtId="0" fontId="0" fillId="11" borderId="2" xfId="0" applyFill="1" applyBorder="1" applyAlignment="1">
      <alignment horizontal="left" vertical="center" wrapText="1"/>
    </xf>
    <xf numFmtId="0" fontId="0" fillId="11" borderId="4" xfId="0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9" borderId="1" xfId="0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10" fontId="0" fillId="0" borderId="1" xfId="2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wrapText="1"/>
    </xf>
    <xf numFmtId="0" fontId="3" fillId="4" borderId="4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3" fillId="6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9" fillId="11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10" fillId="8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right" vertical="center" wrapText="1"/>
    </xf>
    <xf numFmtId="0" fontId="0" fillId="12" borderId="4" xfId="0" applyFill="1" applyBorder="1" applyAlignment="1">
      <alignment horizontal="right" vertical="center" wrapText="1"/>
    </xf>
    <xf numFmtId="0" fontId="0" fillId="12" borderId="2" xfId="0" applyFill="1" applyBorder="1" applyAlignment="1">
      <alignment horizontal="left" vertical="center" wrapText="1"/>
    </xf>
    <xf numFmtId="0" fontId="0" fillId="12" borderId="4" xfId="0" applyFill="1" applyBorder="1" applyAlignment="1">
      <alignment horizontal="left" vertical="center" wrapText="1"/>
    </xf>
    <xf numFmtId="17" fontId="0" fillId="12" borderId="1" xfId="0" applyNumberFormat="1" applyFill="1" applyBorder="1" applyAlignment="1">
      <alignment horizontal="right" vertical="center"/>
    </xf>
    <xf numFmtId="0" fontId="0" fillId="12" borderId="1" xfId="0" applyFill="1" applyBorder="1" applyAlignment="1">
      <alignment horizontal="right" vertical="center"/>
    </xf>
    <xf numFmtId="0" fontId="19" fillId="12" borderId="0" xfId="0" applyFont="1" applyFill="1" applyAlignment="1">
      <alignment horizontal="center"/>
    </xf>
    <xf numFmtId="0" fontId="3" fillId="13" borderId="2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right" vertical="center"/>
    </xf>
    <xf numFmtId="0" fontId="0" fillId="13" borderId="4" xfId="0" applyFill="1" applyBorder="1" applyAlignment="1">
      <alignment horizontal="right" vertical="center"/>
    </xf>
    <xf numFmtId="0" fontId="0" fillId="13" borderId="2" xfId="0" applyFill="1" applyBorder="1" applyAlignment="1">
      <alignment horizontal="left" vertical="center" wrapText="1"/>
    </xf>
    <xf numFmtId="0" fontId="0" fillId="13" borderId="4" xfId="0" applyFill="1" applyBorder="1" applyAlignment="1">
      <alignment horizontal="left" vertical="center" wrapText="1"/>
    </xf>
    <xf numFmtId="17" fontId="0" fillId="13" borderId="2" xfId="0" applyNumberFormat="1" applyFill="1" applyBorder="1" applyAlignment="1">
      <alignment horizontal="right" vertical="center"/>
    </xf>
    <xf numFmtId="0" fontId="19" fillId="13" borderId="0" xfId="0" applyFont="1" applyFill="1" applyAlignment="1">
      <alignment horizontal="center"/>
    </xf>
    <xf numFmtId="0" fontId="3" fillId="14" borderId="2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right" vertical="center" wrapText="1"/>
    </xf>
    <xf numFmtId="0" fontId="0" fillId="14" borderId="4" xfId="0" applyFill="1" applyBorder="1" applyAlignment="1">
      <alignment horizontal="right" vertical="center" wrapText="1"/>
    </xf>
    <xf numFmtId="0" fontId="0" fillId="14" borderId="2" xfId="0" applyFill="1" applyBorder="1" applyAlignment="1">
      <alignment horizontal="left" vertical="center" wrapText="1"/>
    </xf>
    <xf numFmtId="0" fontId="0" fillId="14" borderId="4" xfId="0" applyFill="1" applyBorder="1" applyAlignment="1">
      <alignment horizontal="left" vertical="center" wrapText="1"/>
    </xf>
    <xf numFmtId="17" fontId="0" fillId="14" borderId="1" xfId="0" applyNumberFormat="1" applyFill="1" applyBorder="1" applyAlignment="1">
      <alignment horizontal="right" vertical="center"/>
    </xf>
    <xf numFmtId="0" fontId="0" fillId="14" borderId="1" xfId="0" applyFill="1" applyBorder="1" applyAlignment="1">
      <alignment horizontal="right" vertical="center"/>
    </xf>
    <xf numFmtId="0" fontId="19" fillId="14" borderId="0" xfId="0" applyFont="1" applyFill="1" applyAlignment="1">
      <alignment horizontal="center"/>
    </xf>
    <xf numFmtId="0" fontId="3" fillId="15" borderId="2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0" fillId="15" borderId="2" xfId="0" applyFill="1" applyBorder="1" applyAlignment="1">
      <alignment horizontal="right" vertical="center"/>
    </xf>
    <xf numFmtId="0" fontId="0" fillId="15" borderId="4" xfId="0" applyFill="1" applyBorder="1" applyAlignment="1">
      <alignment horizontal="right" vertical="center"/>
    </xf>
    <xf numFmtId="0" fontId="0" fillId="15" borderId="2" xfId="0" applyFill="1" applyBorder="1" applyAlignment="1">
      <alignment horizontal="left" vertical="center" wrapText="1"/>
    </xf>
    <xf numFmtId="0" fontId="0" fillId="15" borderId="4" xfId="0" applyFill="1" applyBorder="1" applyAlignment="1">
      <alignment horizontal="left" vertical="center" wrapText="1"/>
    </xf>
    <xf numFmtId="17" fontId="0" fillId="15" borderId="2" xfId="0" applyNumberFormat="1" applyFill="1" applyBorder="1" applyAlignment="1">
      <alignment horizontal="right" vertical="center"/>
    </xf>
    <xf numFmtId="17" fontId="0" fillId="14" borderId="2" xfId="0" applyNumberFormat="1" applyFill="1" applyBorder="1" applyAlignment="1">
      <alignment horizontal="right" vertical="center"/>
    </xf>
    <xf numFmtId="0" fontId="0" fillId="14" borderId="4" xfId="0" applyFill="1" applyBorder="1" applyAlignment="1">
      <alignment horizontal="right" vertical="center"/>
    </xf>
    <xf numFmtId="0" fontId="0" fillId="14" borderId="2" xfId="0" applyFill="1" applyBorder="1" applyAlignment="1">
      <alignment horizontal="right" vertical="center"/>
    </xf>
    <xf numFmtId="0" fontId="19" fillId="14" borderId="0" xfId="0" applyFont="1" applyFill="1" applyAlignment="1">
      <alignment horizontal="center" wrapText="1"/>
    </xf>
    <xf numFmtId="17" fontId="0" fillId="17" borderId="2" xfId="0" applyNumberFormat="1" applyFill="1" applyBorder="1" applyAlignment="1">
      <alignment horizontal="right" vertical="center"/>
    </xf>
    <xf numFmtId="0" fontId="0" fillId="17" borderId="4" xfId="0" applyFill="1" applyBorder="1" applyAlignment="1">
      <alignment horizontal="right" vertical="center"/>
    </xf>
    <xf numFmtId="0" fontId="0" fillId="17" borderId="2" xfId="0" applyFill="1" applyBorder="1" applyAlignment="1">
      <alignment horizontal="left" vertical="center" wrapText="1"/>
    </xf>
    <xf numFmtId="0" fontId="0" fillId="17" borderId="4" xfId="0" applyFill="1" applyBorder="1" applyAlignment="1">
      <alignment horizontal="left" vertical="center" wrapText="1"/>
    </xf>
    <xf numFmtId="0" fontId="3" fillId="17" borderId="2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horizontal="center" vertical="center" wrapText="1"/>
    </xf>
    <xf numFmtId="0" fontId="0" fillId="17" borderId="2" xfId="0" applyFill="1" applyBorder="1" applyAlignment="1">
      <alignment horizontal="right" vertical="center"/>
    </xf>
    <xf numFmtId="0" fontId="19" fillId="17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colors>
    <mruColors>
      <color rgb="FF77E57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8"/>
  <sheetViews>
    <sheetView tabSelected="1" topLeftCell="A16" workbookViewId="0">
      <selection activeCell="A9" sqref="A9:L10"/>
    </sheetView>
  </sheetViews>
  <sheetFormatPr defaultRowHeight="12.75"/>
  <cols>
    <col min="1" max="1" width="3.75" customWidth="1"/>
    <col min="2" max="2" width="9.875" customWidth="1"/>
    <col min="4" max="4" width="24" customWidth="1"/>
    <col min="8" max="8" width="12.875" customWidth="1"/>
    <col min="9" max="9" width="11.75" customWidth="1"/>
    <col min="10" max="10" width="11.875" bestFit="1" customWidth="1"/>
    <col min="11" max="11" width="16" bestFit="1" customWidth="1"/>
    <col min="12" max="12" width="17.875" bestFit="1" customWidth="1"/>
  </cols>
  <sheetData>
    <row r="1" spans="1:12">
      <c r="A1" s="334" t="s">
        <v>397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2" ht="18.75" thickBot="1">
      <c r="A2" s="336" t="s">
        <v>398</v>
      </c>
      <c r="B2" s="336"/>
      <c r="C2" s="336"/>
      <c r="D2" s="336"/>
      <c r="E2" s="336"/>
      <c r="F2" s="336"/>
      <c r="G2" s="336"/>
      <c r="H2" s="336"/>
    </row>
    <row r="3" spans="1:12" ht="24" customHeight="1" thickBot="1">
      <c r="A3" s="337" t="s">
        <v>399</v>
      </c>
      <c r="B3" s="338"/>
      <c r="C3" s="338"/>
      <c r="D3" s="338"/>
      <c r="E3" s="338"/>
      <c r="F3" s="338"/>
      <c r="G3" s="338"/>
      <c r="H3" s="339"/>
    </row>
    <row r="4" spans="1:12" ht="30" customHeight="1" thickBot="1">
      <c r="A4" s="340" t="s">
        <v>400</v>
      </c>
      <c r="B4" s="341"/>
      <c r="C4" s="341"/>
      <c r="D4" s="299"/>
      <c r="E4" s="342" t="s">
        <v>401</v>
      </c>
      <c r="F4" s="342"/>
      <c r="G4" s="342"/>
      <c r="H4" s="343"/>
    </row>
    <row r="5" spans="1:12" ht="24.75" customHeight="1" thickBot="1">
      <c r="A5" s="344" t="s">
        <v>402</v>
      </c>
      <c r="B5" s="345"/>
      <c r="C5" s="345"/>
      <c r="D5" s="345"/>
      <c r="E5" s="345"/>
      <c r="F5" s="345"/>
      <c r="G5" s="345"/>
      <c r="H5" s="346"/>
    </row>
    <row r="6" spans="1:12" ht="23.25" customHeight="1" thickBot="1">
      <c r="A6" s="344" t="s">
        <v>403</v>
      </c>
      <c r="B6" s="345"/>
      <c r="C6" s="345"/>
      <c r="D6" s="345"/>
      <c r="E6" s="345"/>
      <c r="F6" s="345"/>
      <c r="G6" s="345"/>
      <c r="H6" s="346"/>
    </row>
    <row r="7" spans="1:12" ht="30.75" customHeight="1" thickBot="1">
      <c r="A7" s="340" t="s">
        <v>404</v>
      </c>
      <c r="B7" s="341"/>
      <c r="C7" s="341"/>
      <c r="D7" s="341"/>
      <c r="E7" s="341"/>
      <c r="F7" s="341"/>
      <c r="G7" s="341"/>
      <c r="H7" s="347"/>
    </row>
    <row r="8" spans="1:12" ht="15">
      <c r="A8" s="300"/>
      <c r="B8" s="300"/>
      <c r="C8" s="300"/>
      <c r="D8" s="300"/>
      <c r="E8" s="300"/>
      <c r="F8" s="300"/>
      <c r="G8" s="300"/>
      <c r="H8" s="300"/>
    </row>
    <row r="9" spans="1:12" ht="15" customHeight="1">
      <c r="A9" s="348" t="s">
        <v>405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</row>
    <row r="10" spans="1:12" ht="23.25" customHeight="1">
      <c r="A10" s="348"/>
      <c r="B10" s="348"/>
      <c r="C10" s="348"/>
      <c r="D10" s="348"/>
      <c r="E10" s="348"/>
      <c r="F10" s="348"/>
      <c r="G10" s="348"/>
      <c r="H10" s="348"/>
      <c r="I10" s="348"/>
      <c r="J10" s="348"/>
      <c r="K10" s="348"/>
      <c r="L10" s="348"/>
    </row>
    <row r="11" spans="1:12" ht="21.75" customHeight="1">
      <c r="A11" s="348" t="s">
        <v>406</v>
      </c>
      <c r="B11" s="348"/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3" spans="1:12">
      <c r="A13" s="326" t="s">
        <v>11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8"/>
    </row>
    <row r="14" spans="1:12" ht="21.95" customHeight="1">
      <c r="A14" s="324" t="s">
        <v>0</v>
      </c>
      <c r="B14" s="324"/>
      <c r="C14" s="329" t="s">
        <v>395</v>
      </c>
      <c r="D14" s="330"/>
      <c r="E14" s="330"/>
      <c r="F14" s="330"/>
      <c r="G14" s="330"/>
      <c r="H14" s="330"/>
      <c r="I14" s="330"/>
      <c r="J14" s="330"/>
      <c r="K14" s="330"/>
      <c r="L14" s="331"/>
    </row>
    <row r="15" spans="1:12" ht="21.95" customHeight="1">
      <c r="A15" s="323" t="s">
        <v>1</v>
      </c>
      <c r="B15" s="323"/>
      <c r="C15" s="332"/>
      <c r="D15" s="332"/>
      <c r="E15" s="332"/>
      <c r="F15" s="332"/>
      <c r="G15" s="332"/>
      <c r="H15" s="332"/>
      <c r="I15" s="332"/>
      <c r="J15" s="332"/>
      <c r="K15" s="332"/>
      <c r="L15" s="332"/>
    </row>
    <row r="17" spans="1:12" ht="21.95" customHeight="1">
      <c r="A17" s="333" t="s">
        <v>2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</row>
    <row r="19" spans="1:12">
      <c r="A19" s="316" t="s">
        <v>321</v>
      </c>
      <c r="B19" s="316"/>
      <c r="C19" s="316"/>
      <c r="D19" s="316"/>
      <c r="E19" s="316"/>
      <c r="F19" s="316"/>
      <c r="G19" s="316"/>
      <c r="H19" s="316"/>
    </row>
    <row r="21" spans="1:12" ht="21.95" customHeight="1">
      <c r="A21" s="2" t="s">
        <v>3</v>
      </c>
      <c r="B21" s="323" t="s">
        <v>7</v>
      </c>
      <c r="C21" s="323"/>
      <c r="D21" s="323"/>
      <c r="E21" s="323"/>
      <c r="F21" s="324"/>
      <c r="G21" s="324"/>
      <c r="H21" s="324"/>
      <c r="I21" s="324"/>
      <c r="J21" s="324"/>
      <c r="K21" s="324"/>
      <c r="L21" s="324"/>
    </row>
    <row r="22" spans="1:12" ht="21.95" customHeight="1">
      <c r="A22" s="2" t="s">
        <v>4</v>
      </c>
      <c r="B22" s="323" t="s">
        <v>8</v>
      </c>
      <c r="C22" s="323"/>
      <c r="D22" s="323"/>
      <c r="E22" s="323"/>
      <c r="F22" s="324" t="s">
        <v>374</v>
      </c>
      <c r="G22" s="324"/>
      <c r="H22" s="324"/>
      <c r="I22" s="324"/>
      <c r="J22" s="324"/>
      <c r="K22" s="324"/>
      <c r="L22" s="324"/>
    </row>
    <row r="23" spans="1:12" ht="110.25" customHeight="1">
      <c r="A23" s="2" t="s">
        <v>5</v>
      </c>
      <c r="B23" s="323" t="s">
        <v>10</v>
      </c>
      <c r="C23" s="323"/>
      <c r="D23" s="323"/>
      <c r="E23" s="323"/>
      <c r="F23" s="312"/>
      <c r="G23" s="313"/>
      <c r="H23" s="313"/>
      <c r="I23" s="313"/>
      <c r="J23" s="313"/>
      <c r="K23" s="313"/>
      <c r="L23" s="314"/>
    </row>
    <row r="24" spans="1:12" ht="21.95" customHeight="1">
      <c r="A24" s="2" t="s">
        <v>6</v>
      </c>
      <c r="B24" s="323" t="s">
        <v>9</v>
      </c>
      <c r="C24" s="323"/>
      <c r="D24" s="323"/>
      <c r="E24" s="323"/>
      <c r="F24" s="2">
        <v>12</v>
      </c>
      <c r="G24" s="2" t="s">
        <v>390</v>
      </c>
      <c r="H24" s="294" t="s">
        <v>295</v>
      </c>
      <c r="I24" s="324" t="s">
        <v>391</v>
      </c>
      <c r="J24" s="324"/>
      <c r="K24" s="325"/>
      <c r="L24" s="325"/>
    </row>
    <row r="26" spans="1:12">
      <c r="A26" s="310" t="s">
        <v>12</v>
      </c>
      <c r="B26" s="311"/>
      <c r="C26" s="311"/>
      <c r="D26" s="311"/>
      <c r="E26" s="311"/>
      <c r="F26" s="311"/>
      <c r="G26" s="311"/>
      <c r="H26" s="311"/>
      <c r="I26" s="311"/>
      <c r="J26" s="311"/>
      <c r="K26" s="311"/>
      <c r="L26" s="311"/>
    </row>
    <row r="28" spans="1:12" s="1" customFormat="1" ht="28.5" customHeight="1">
      <c r="A28" s="317" t="s">
        <v>13</v>
      </c>
      <c r="B28" s="318"/>
      <c r="C28" s="318"/>
      <c r="D28" s="319"/>
      <c r="E28" s="317" t="s">
        <v>14</v>
      </c>
      <c r="F28" s="319"/>
      <c r="G28" s="309" t="s">
        <v>15</v>
      </c>
      <c r="H28" s="309"/>
      <c r="I28" s="309" t="s">
        <v>392</v>
      </c>
      <c r="J28" s="309"/>
      <c r="K28" s="309"/>
      <c r="L28" s="309"/>
    </row>
    <row r="29" spans="1:12" s="1" customFormat="1" ht="28.5" customHeight="1">
      <c r="A29" s="320"/>
      <c r="B29" s="321"/>
      <c r="C29" s="321"/>
      <c r="D29" s="322"/>
      <c r="E29" s="320"/>
      <c r="F29" s="322"/>
      <c r="G29" s="150" t="s">
        <v>319</v>
      </c>
      <c r="H29" s="150" t="s">
        <v>320</v>
      </c>
      <c r="I29" s="293" t="s">
        <v>319</v>
      </c>
      <c r="J29" s="293" t="s">
        <v>320</v>
      </c>
      <c r="K29" s="293" t="s">
        <v>393</v>
      </c>
      <c r="L29" s="293" t="s">
        <v>394</v>
      </c>
    </row>
    <row r="30" spans="1:12" ht="39.950000000000003" customHeight="1">
      <c r="A30" s="315" t="s">
        <v>302</v>
      </c>
      <c r="B30" s="121" t="s">
        <v>303</v>
      </c>
      <c r="C30" s="308" t="s">
        <v>301</v>
      </c>
      <c r="D30" s="308"/>
      <c r="E30" s="306" t="s">
        <v>307</v>
      </c>
      <c r="F30" s="307"/>
      <c r="G30" s="2">
        <f>+'Estimativa de Custo'!G29</f>
        <v>8</v>
      </c>
      <c r="H30" s="2">
        <f>+'Estimativa de Custo'!H29</f>
        <v>16</v>
      </c>
      <c r="I30" s="8">
        <f>+J30*2</f>
        <v>0</v>
      </c>
      <c r="J30" s="8">
        <f>+'Vigilante 12X36 Diurno Arm'!D153</f>
        <v>0</v>
      </c>
      <c r="K30" s="8">
        <f>+J30*H30</f>
        <v>0</v>
      </c>
      <c r="L30" s="8">
        <f>+K30*12</f>
        <v>0</v>
      </c>
    </row>
    <row r="31" spans="1:12" ht="39.950000000000003" customHeight="1">
      <c r="A31" s="315"/>
      <c r="B31" s="121" t="s">
        <v>304</v>
      </c>
      <c r="C31" s="308" t="s">
        <v>300</v>
      </c>
      <c r="D31" s="308"/>
      <c r="E31" s="306" t="s">
        <v>307</v>
      </c>
      <c r="F31" s="307"/>
      <c r="G31" s="2">
        <f>+'Estimativa de Custo'!G30</f>
        <v>13</v>
      </c>
      <c r="H31" s="2">
        <f>+'Estimativa de Custo'!H30</f>
        <v>26</v>
      </c>
      <c r="I31" s="8">
        <f>+J31*2</f>
        <v>0</v>
      </c>
      <c r="J31" s="8">
        <f>+'Vigilante 12x36 Noturno Arm'!D153</f>
        <v>0</v>
      </c>
      <c r="K31" s="8">
        <f t="shared" ref="K31:K36" si="0">+J31*H31</f>
        <v>0</v>
      </c>
      <c r="L31" s="8">
        <f t="shared" ref="L31:L37" si="1">+K31*12</f>
        <v>0</v>
      </c>
    </row>
    <row r="32" spans="1:12" ht="39.950000000000003" customHeight="1">
      <c r="A32" s="315"/>
      <c r="B32" s="121" t="s">
        <v>305</v>
      </c>
      <c r="C32" s="308" t="s">
        <v>338</v>
      </c>
      <c r="D32" s="308"/>
      <c r="E32" s="306" t="s">
        <v>339</v>
      </c>
      <c r="F32" s="307"/>
      <c r="G32" s="2">
        <f>+'Estimativa de Custo'!G31</f>
        <v>4</v>
      </c>
      <c r="H32" s="2">
        <f>+'Estimativa de Custo'!H31</f>
        <v>4</v>
      </c>
      <c r="I32" s="8">
        <f>+J32</f>
        <v>0</v>
      </c>
      <c r="J32" s="8">
        <f>+'Vigilante 5x2 12h Arm'!D156</f>
        <v>0</v>
      </c>
      <c r="K32" s="8">
        <f t="shared" si="0"/>
        <v>0</v>
      </c>
      <c r="L32" s="8">
        <f t="shared" si="1"/>
        <v>0</v>
      </c>
    </row>
    <row r="33" spans="1:12" ht="39.950000000000003" customHeight="1">
      <c r="A33" s="315"/>
      <c r="B33" s="297" t="s">
        <v>306</v>
      </c>
      <c r="C33" s="308" t="s">
        <v>299</v>
      </c>
      <c r="D33" s="308"/>
      <c r="E33" s="306" t="s">
        <v>307</v>
      </c>
      <c r="F33" s="307"/>
      <c r="G33" s="2">
        <f>+'Estimativa de Custo'!G33</f>
        <v>8</v>
      </c>
      <c r="H33" s="2">
        <f>+'Estimativa de Custo'!H33</f>
        <v>16</v>
      </c>
      <c r="I33" s="8">
        <f>+J33*2</f>
        <v>0</v>
      </c>
      <c r="J33" s="8">
        <f>+'Vigilante 12X36 Diurno Des'!D153</f>
        <v>0</v>
      </c>
      <c r="K33" s="8">
        <f t="shared" si="0"/>
        <v>0</v>
      </c>
      <c r="L33" s="8">
        <f t="shared" si="1"/>
        <v>0</v>
      </c>
    </row>
    <row r="34" spans="1:12" ht="39.950000000000003" customHeight="1">
      <c r="A34" s="315"/>
      <c r="B34" s="297" t="s">
        <v>336</v>
      </c>
      <c r="C34" s="308" t="s">
        <v>298</v>
      </c>
      <c r="D34" s="308"/>
      <c r="E34" s="306" t="s">
        <v>307</v>
      </c>
      <c r="F34" s="307"/>
      <c r="G34" s="2">
        <f>+'Estimativa de Custo'!G34</f>
        <v>8</v>
      </c>
      <c r="H34" s="2">
        <f>+'Estimativa de Custo'!H34</f>
        <v>16</v>
      </c>
      <c r="I34" s="8">
        <f>+J34*2</f>
        <v>0</v>
      </c>
      <c r="J34" s="8">
        <f>+'Vigilante 12X36 Noturno Des'!D155</f>
        <v>0</v>
      </c>
      <c r="K34" s="8">
        <f t="shared" si="0"/>
        <v>0</v>
      </c>
      <c r="L34" s="8">
        <f t="shared" si="1"/>
        <v>0</v>
      </c>
    </row>
    <row r="35" spans="1:12" ht="39.950000000000003" customHeight="1">
      <c r="A35" s="315"/>
      <c r="B35" s="297" t="s">
        <v>337</v>
      </c>
      <c r="C35" s="308" t="s">
        <v>340</v>
      </c>
      <c r="D35" s="308"/>
      <c r="E35" s="306" t="s">
        <v>339</v>
      </c>
      <c r="F35" s="307"/>
      <c r="G35" s="2">
        <f>+'Estimativa de Custo'!G35</f>
        <v>1</v>
      </c>
      <c r="H35" s="2">
        <f>+'Estimativa de Custo'!H35</f>
        <v>1</v>
      </c>
      <c r="I35" s="8">
        <f>+J35</f>
        <v>0</v>
      </c>
      <c r="J35" s="8">
        <f>+'Vigilante 5x2 12h Desar'!D154</f>
        <v>0</v>
      </c>
      <c r="K35" s="8">
        <f t="shared" si="0"/>
        <v>0</v>
      </c>
      <c r="L35" s="8">
        <f t="shared" si="1"/>
        <v>0</v>
      </c>
    </row>
    <row r="36" spans="1:12" ht="39.950000000000003" customHeight="1">
      <c r="A36" s="315"/>
      <c r="B36" s="297" t="s">
        <v>378</v>
      </c>
      <c r="C36" s="308" t="s">
        <v>379</v>
      </c>
      <c r="D36" s="308"/>
      <c r="E36" s="306" t="s">
        <v>339</v>
      </c>
      <c r="F36" s="307"/>
      <c r="G36" s="2">
        <f>+'Estimativa de Custo'!G36</f>
        <v>5</v>
      </c>
      <c r="H36" s="2">
        <f>+'Estimativa de Custo'!H36</f>
        <v>5</v>
      </c>
      <c r="I36" s="8">
        <f>+J36</f>
        <v>0</v>
      </c>
      <c r="J36" s="8">
        <f>+'Vigilante 44h Desarm'!D155</f>
        <v>0</v>
      </c>
      <c r="K36" s="8">
        <f t="shared" si="0"/>
        <v>0</v>
      </c>
      <c r="L36" s="8">
        <f t="shared" si="1"/>
        <v>0</v>
      </c>
    </row>
    <row r="37" spans="1:12" ht="15">
      <c r="D37" s="159"/>
      <c r="G37" s="13">
        <f>SUM(G30:G36)</f>
        <v>47</v>
      </c>
      <c r="H37" s="13">
        <f>SUM(H30:H36)</f>
        <v>84</v>
      </c>
      <c r="I37" s="296"/>
      <c r="J37" s="296"/>
      <c r="K37" s="9">
        <f>SUM(K30:K36)</f>
        <v>0</v>
      </c>
      <c r="L37" s="9">
        <f t="shared" si="1"/>
        <v>0</v>
      </c>
    </row>
    <row r="38" spans="1:12" ht="15">
      <c r="D38" s="159"/>
    </row>
    <row r="41" spans="1:12" ht="15">
      <c r="D41" s="159"/>
    </row>
    <row r="42" spans="1:12" ht="15">
      <c r="D42" s="159"/>
    </row>
    <row r="48" spans="1:12">
      <c r="H48" s="158"/>
    </row>
  </sheetData>
  <mergeCells count="46">
    <mergeCell ref="A13:L13"/>
    <mergeCell ref="C14:L14"/>
    <mergeCell ref="C15:L15"/>
    <mergeCell ref="A17:L17"/>
    <mergeCell ref="A1:L1"/>
    <mergeCell ref="A2:H2"/>
    <mergeCell ref="A3:H3"/>
    <mergeCell ref="A4:C4"/>
    <mergeCell ref="E4:H4"/>
    <mergeCell ref="A5:H5"/>
    <mergeCell ref="A6:H6"/>
    <mergeCell ref="A7:H7"/>
    <mergeCell ref="A9:L10"/>
    <mergeCell ref="A11:L11"/>
    <mergeCell ref="I24:J24"/>
    <mergeCell ref="K24:L24"/>
    <mergeCell ref="A14:B14"/>
    <mergeCell ref="A15:B15"/>
    <mergeCell ref="F22:L22"/>
    <mergeCell ref="I28:L28"/>
    <mergeCell ref="A26:L26"/>
    <mergeCell ref="F23:L23"/>
    <mergeCell ref="A30:A36"/>
    <mergeCell ref="A19:H19"/>
    <mergeCell ref="E31:F31"/>
    <mergeCell ref="E32:F32"/>
    <mergeCell ref="G28:H28"/>
    <mergeCell ref="A28:D29"/>
    <mergeCell ref="E28:F29"/>
    <mergeCell ref="C31:D31"/>
    <mergeCell ref="B21:E21"/>
    <mergeCell ref="B22:E22"/>
    <mergeCell ref="B23:E23"/>
    <mergeCell ref="B24:E24"/>
    <mergeCell ref="F21:L21"/>
    <mergeCell ref="E30:F30"/>
    <mergeCell ref="C30:D30"/>
    <mergeCell ref="E36:F36"/>
    <mergeCell ref="C36:D36"/>
    <mergeCell ref="C32:D32"/>
    <mergeCell ref="C33:D33"/>
    <mergeCell ref="E33:F33"/>
    <mergeCell ref="C34:D34"/>
    <mergeCell ref="E34:F34"/>
    <mergeCell ref="C35:D35"/>
    <mergeCell ref="E35:F35"/>
  </mergeCells>
  <pageMargins left="1.1811023622047245" right="0.11811023622047245" top="0.79" bottom="0.78740157480314965" header="0.31496062992125984" footer="0.31496062992125984"/>
  <pageSetup paperSize="9" scale="63" orientation="landscape" r:id="rId1"/>
  <headerFoot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D230"/>
  <sheetViews>
    <sheetView workbookViewId="0">
      <selection activeCell="A12" sqref="A12"/>
    </sheetView>
  </sheetViews>
  <sheetFormatPr defaultRowHeight="12.75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>
      <c r="A1" s="463" t="s">
        <v>334</v>
      </c>
      <c r="B1" s="463"/>
      <c r="C1" s="463"/>
    </row>
    <row r="3" spans="1:3">
      <c r="A3" s="6" t="s">
        <v>102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(365.25/12/2)/(7/7)</f>
        <v>15.21875</v>
      </c>
    </row>
    <row r="6" spans="1:3">
      <c r="A6" s="34" t="s">
        <v>30</v>
      </c>
      <c r="B6" s="18">
        <f>+'Vigilante 12X36 Noturno Des'!D14</f>
        <v>0</v>
      </c>
    </row>
    <row r="7" spans="1:3">
      <c r="A7" s="34" t="s">
        <v>241</v>
      </c>
      <c r="B7" s="18">
        <f>+'Vigilante 12X36 Noturno Des'!D25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12X36 Noturno Des'!D14</f>
        <v>0</v>
      </c>
    </row>
    <row r="11" spans="1:3">
      <c r="A11" s="6" t="s">
        <v>31</v>
      </c>
      <c r="B11" s="52"/>
      <c r="C11" s="90">
        <f>+'Vigilante 12X36 Noturno Des'!D15</f>
        <v>0</v>
      </c>
    </row>
    <row r="12" spans="1:3">
      <c r="A12" s="6" t="s">
        <v>32</v>
      </c>
      <c r="B12" s="52"/>
      <c r="C12" s="90">
        <f>+'Vigilante 12X36 Noturno Des'!D16</f>
        <v>0</v>
      </c>
    </row>
    <row r="13" spans="1:3">
      <c r="A13" s="6" t="s">
        <v>33</v>
      </c>
      <c r="B13" s="52"/>
      <c r="C13" s="90">
        <f>+'Vigilante 12X36 Noturno Des'!D17</f>
        <v>0</v>
      </c>
    </row>
    <row r="14" spans="1:3">
      <c r="A14" s="6" t="s">
        <v>34</v>
      </c>
      <c r="B14" s="52"/>
      <c r="C14" s="90">
        <f>+'Vigilante 12X36 Noturno Des'!D18</f>
        <v>0</v>
      </c>
    </row>
    <row r="15" spans="1:3">
      <c r="A15" t="s">
        <v>65</v>
      </c>
      <c r="B15" s="52"/>
      <c r="C15" s="90">
        <f>+'Vigilante 12X36 Noturno Des'!D22</f>
        <v>0</v>
      </c>
    </row>
    <row r="16" spans="1:3">
      <c r="A16" s="35" t="s">
        <v>193</v>
      </c>
      <c r="B16" s="101"/>
      <c r="C16" s="102">
        <f>SUM(C10:C15)</f>
        <v>0</v>
      </c>
    </row>
    <row r="17" spans="1:3">
      <c r="A17" s="6" t="s">
        <v>102</v>
      </c>
      <c r="B17" s="57">
        <f>+B3</f>
        <v>220</v>
      </c>
      <c r="C17" s="54"/>
    </row>
    <row r="18" spans="1:3">
      <c r="A18" s="35" t="s">
        <v>103</v>
      </c>
      <c r="B18" s="101"/>
      <c r="C18" s="36">
        <f>+C16/B17</f>
        <v>0</v>
      </c>
    </row>
    <row r="19" spans="1:3">
      <c r="A19" s="6" t="s">
        <v>197</v>
      </c>
      <c r="B19" s="6">
        <v>16</v>
      </c>
      <c r="C19" s="54"/>
    </row>
    <row r="20" spans="1:3">
      <c r="A20" s="6" t="s">
        <v>198</v>
      </c>
      <c r="B20" s="6">
        <v>12</v>
      </c>
      <c r="C20" s="54"/>
    </row>
    <row r="21" spans="1:3">
      <c r="A21" s="6" t="s">
        <v>199</v>
      </c>
      <c r="B21" s="6">
        <f>+B20*B19</f>
        <v>192</v>
      </c>
      <c r="C21" s="8">
        <f>+B21*C18</f>
        <v>0</v>
      </c>
    </row>
    <row r="22" spans="1:3">
      <c r="A22" s="6" t="s">
        <v>200</v>
      </c>
      <c r="B22" s="17">
        <v>0.5</v>
      </c>
      <c r="C22" s="8">
        <f>+B22*C21</f>
        <v>0</v>
      </c>
    </row>
    <row r="23" spans="1:3">
      <c r="A23" s="6" t="s">
        <v>201</v>
      </c>
      <c r="B23" s="17">
        <v>1</v>
      </c>
      <c r="C23" s="8">
        <f>+B23*C22</f>
        <v>0</v>
      </c>
    </row>
    <row r="24" spans="1:3">
      <c r="A24" s="6" t="s">
        <v>202</v>
      </c>
      <c r="B24" s="6">
        <v>12</v>
      </c>
      <c r="C24" s="91"/>
    </row>
    <row r="25" spans="1:3">
      <c r="A25" s="431" t="s">
        <v>203</v>
      </c>
      <c r="B25" s="432"/>
      <c r="C25" s="45">
        <f>+C23/B24</f>
        <v>0</v>
      </c>
    </row>
    <row r="26" spans="1:3">
      <c r="C26" s="15"/>
    </row>
    <row r="27" spans="1:3">
      <c r="A27" s="434" t="s">
        <v>210</v>
      </c>
      <c r="B27" s="434"/>
      <c r="C27" s="434"/>
    </row>
    <row r="28" spans="1:3">
      <c r="A28" s="6" t="s">
        <v>103</v>
      </c>
      <c r="B28" s="52"/>
      <c r="C28" s="90">
        <f>+C18</f>
        <v>0</v>
      </c>
    </row>
    <row r="29" spans="1:3">
      <c r="A29" s="6" t="s">
        <v>199</v>
      </c>
      <c r="B29" s="6">
        <v>192</v>
      </c>
      <c r="C29" s="54"/>
    </row>
    <row r="30" spans="1:3">
      <c r="A30" s="6" t="s">
        <v>204</v>
      </c>
      <c r="B30" s="6">
        <f>+$B$4</f>
        <v>365.25</v>
      </c>
      <c r="C30" s="54"/>
    </row>
    <row r="31" spans="1:3">
      <c r="A31" s="6" t="s">
        <v>197</v>
      </c>
      <c r="B31" s="6">
        <v>16</v>
      </c>
      <c r="C31" s="54"/>
    </row>
    <row r="32" spans="1:3">
      <c r="A32" s="6" t="s">
        <v>200</v>
      </c>
      <c r="B32" s="17">
        <v>0.5</v>
      </c>
      <c r="C32" s="54"/>
    </row>
    <row r="33" spans="1:3">
      <c r="A33" s="6" t="s">
        <v>205</v>
      </c>
      <c r="B33" s="92">
        <f>ROUND(((B30/7)*6)-B31,2)</f>
        <v>297.07</v>
      </c>
      <c r="C33" s="54"/>
    </row>
    <row r="34" spans="1:3">
      <c r="A34" s="6" t="s">
        <v>206</v>
      </c>
      <c r="B34" s="34">
        <v>12</v>
      </c>
      <c r="C34" s="54"/>
    </row>
    <row r="35" spans="1:3" ht="25.5">
      <c r="A35" s="30" t="s">
        <v>207</v>
      </c>
      <c r="B35" s="6">
        <f>+((B29/B34)*B32)/B33</f>
        <v>2.6929679873430507E-2</v>
      </c>
      <c r="C35" s="54"/>
    </row>
    <row r="36" spans="1:3">
      <c r="A36" s="24" t="s">
        <v>208</v>
      </c>
      <c r="B36" s="24"/>
      <c r="C36" s="45">
        <f>+C28*(B30-B33)*B35</f>
        <v>0</v>
      </c>
    </row>
    <row r="37" spans="1:3">
      <c r="C37" s="15"/>
    </row>
    <row r="38" spans="1:3">
      <c r="A38" s="419" t="s">
        <v>107</v>
      </c>
      <c r="B38" s="419"/>
      <c r="C38" s="419"/>
    </row>
    <row r="39" spans="1:3">
      <c r="A39" s="55" t="s">
        <v>30</v>
      </c>
      <c r="B39" s="86"/>
      <c r="C39" s="56">
        <f>+'Vigilante 12X36 Noturno Des'!D14</f>
        <v>0</v>
      </c>
    </row>
    <row r="40" spans="1:3">
      <c r="A40" s="55" t="s">
        <v>31</v>
      </c>
      <c r="B40" s="58"/>
      <c r="C40" s="56">
        <f>+'Vigilante 12X36 Noturno Des'!D15</f>
        <v>0</v>
      </c>
    </row>
    <row r="41" spans="1:3">
      <c r="A41" s="55" t="s">
        <v>32</v>
      </c>
      <c r="B41" s="58"/>
      <c r="C41" s="56">
        <f>+'Vigilante 12X36 Noturno Des'!D16</f>
        <v>0</v>
      </c>
    </row>
    <row r="42" spans="1:3">
      <c r="A42" s="55" t="s">
        <v>33</v>
      </c>
      <c r="B42" s="58"/>
      <c r="C42" s="56">
        <f>+'Vigilante 12X36 Noturno Des'!D17</f>
        <v>0</v>
      </c>
    </row>
    <row r="43" spans="1:3">
      <c r="A43" s="55" t="s">
        <v>34</v>
      </c>
      <c r="B43" s="58"/>
      <c r="C43" s="56">
        <f>+'Vigilante 12X36 Noturno Des'!D18</f>
        <v>0</v>
      </c>
    </row>
    <row r="44" spans="1:3">
      <c r="A44" s="55" t="s">
        <v>35</v>
      </c>
      <c r="B44" s="58"/>
      <c r="C44" s="56">
        <f>+'Vigilante 12X36 Noturno Des'!D20</f>
        <v>0</v>
      </c>
    </row>
    <row r="45" spans="1:3">
      <c r="A45" s="55" t="s">
        <v>65</v>
      </c>
      <c r="B45" s="58"/>
      <c r="C45" s="56">
        <f>+'Vigilante 12X36 Noturno Des'!D22</f>
        <v>0</v>
      </c>
    </row>
    <row r="46" spans="1:3">
      <c r="A46" s="35" t="s">
        <v>101</v>
      </c>
      <c r="B46" s="99"/>
      <c r="C46" s="100">
        <f>SUM(C39:C45)</f>
        <v>0</v>
      </c>
    </row>
    <row r="47" spans="1:3">
      <c r="A47" s="6" t="s">
        <v>102</v>
      </c>
      <c r="B47" s="57">
        <f>+B3</f>
        <v>220</v>
      </c>
      <c r="C47" s="58"/>
    </row>
    <row r="48" spans="1:3">
      <c r="A48" s="6" t="s">
        <v>103</v>
      </c>
      <c r="B48" s="58"/>
      <c r="C48" s="59">
        <f>ROUND(+C46/B47,2)</f>
        <v>0</v>
      </c>
    </row>
    <row r="49" spans="1:3">
      <c r="A49" s="6" t="s">
        <v>229</v>
      </c>
      <c r="B49" s="51">
        <f>(365.25/12/2)/(7/7)</f>
        <v>15.21875</v>
      </c>
      <c r="C49" s="58"/>
    </row>
    <row r="50" spans="1:3">
      <c r="A50" s="6" t="s">
        <v>105</v>
      </c>
      <c r="B50" s="17">
        <v>0.5</v>
      </c>
      <c r="C50" s="6"/>
    </row>
    <row r="51" spans="1:3">
      <c r="A51" s="431" t="s">
        <v>106</v>
      </c>
      <c r="B51" s="432"/>
      <c r="C51" s="45">
        <f>ROUND((B49*C48)*(1+B50),2)</f>
        <v>0</v>
      </c>
    </row>
    <row r="53" spans="1:3">
      <c r="A53" s="419" t="s">
        <v>212</v>
      </c>
      <c r="B53" s="419"/>
      <c r="C53" s="419"/>
    </row>
    <row r="54" spans="1:3">
      <c r="A54" s="6" t="s">
        <v>204</v>
      </c>
      <c r="B54" s="6">
        <v>365.25</v>
      </c>
      <c r="C54" s="52"/>
    </row>
    <row r="55" spans="1:3">
      <c r="A55" s="6" t="s">
        <v>206</v>
      </c>
      <c r="B55" s="34">
        <v>12</v>
      </c>
      <c r="C55" s="52"/>
    </row>
    <row r="56" spans="1:3">
      <c r="A56" s="6" t="s">
        <v>213</v>
      </c>
      <c r="B56" s="17">
        <v>0.5</v>
      </c>
      <c r="C56" s="52"/>
    </row>
    <row r="57" spans="1:3">
      <c r="A57" s="103" t="s">
        <v>388</v>
      </c>
      <c r="B57" s="34">
        <v>7</v>
      </c>
      <c r="C57" s="52"/>
    </row>
    <row r="58" spans="1:3">
      <c r="A58" s="34" t="s">
        <v>214</v>
      </c>
      <c r="B58" s="52"/>
      <c r="C58" s="18">
        <f>+'Vigilante 12X36 Noturno Des'!$D$14</f>
        <v>0</v>
      </c>
    </row>
    <row r="59" spans="1:3">
      <c r="A59" s="34" t="s">
        <v>31</v>
      </c>
      <c r="B59" s="52"/>
      <c r="C59" s="18">
        <f>+'Vigilante 12X36 Noturno Des'!$D$15</f>
        <v>0</v>
      </c>
    </row>
    <row r="60" spans="1:3">
      <c r="A60" s="34" t="s">
        <v>32</v>
      </c>
      <c r="B60" s="52"/>
      <c r="C60" s="18">
        <f>+'Vigilante 12X36 Noturno Des'!$D$16</f>
        <v>0</v>
      </c>
    </row>
    <row r="61" spans="1:3">
      <c r="A61" s="104" t="s">
        <v>193</v>
      </c>
      <c r="B61" s="52"/>
      <c r="C61" s="105">
        <f>SUM(C58:C60)</f>
        <v>0</v>
      </c>
    </row>
    <row r="62" spans="1:3">
      <c r="A62" s="6" t="s">
        <v>102</v>
      </c>
      <c r="B62" s="106">
        <f>+B3</f>
        <v>220</v>
      </c>
      <c r="C62" s="52"/>
    </row>
    <row r="63" spans="1:3">
      <c r="A63" s="34" t="s">
        <v>215</v>
      </c>
      <c r="B63" s="17">
        <v>0.2</v>
      </c>
      <c r="C63" s="52"/>
    </row>
    <row r="64" spans="1:3">
      <c r="A64" s="34" t="s">
        <v>216</v>
      </c>
      <c r="B64" s="52"/>
      <c r="C64" s="8">
        <f>ROUND((C61/B62)*B63,2)</f>
        <v>0</v>
      </c>
    </row>
    <row r="65" spans="1:3">
      <c r="A65" s="34" t="s">
        <v>217</v>
      </c>
      <c r="B65" s="6">
        <f>ROUND(+B54/B55*B56*B57,0)</f>
        <v>107</v>
      </c>
      <c r="C65" s="53"/>
    </row>
    <row r="66" spans="1:3">
      <c r="A66" s="435" t="s">
        <v>218</v>
      </c>
      <c r="B66" s="435"/>
      <c r="C66" s="32">
        <f>ROUND(+B65*C64,2)</f>
        <v>0</v>
      </c>
    </row>
    <row r="68" spans="1:3">
      <c r="A68" s="434" t="s">
        <v>232</v>
      </c>
      <c r="B68" s="434"/>
      <c r="C68" s="434"/>
    </row>
    <row r="69" spans="1:3">
      <c r="A69" s="6" t="s">
        <v>103</v>
      </c>
      <c r="B69" s="52"/>
      <c r="C69" s="90">
        <f>+C66</f>
        <v>0</v>
      </c>
    </row>
    <row r="70" spans="1:3">
      <c r="A70" s="6" t="s">
        <v>199</v>
      </c>
      <c r="B70" s="6">
        <v>192</v>
      </c>
      <c r="C70" s="54"/>
    </row>
    <row r="71" spans="1:3">
      <c r="A71" s="6" t="s">
        <v>204</v>
      </c>
      <c r="B71" s="6">
        <f>+$B$4</f>
        <v>365.25</v>
      </c>
      <c r="C71" s="54"/>
    </row>
    <row r="72" spans="1:3">
      <c r="A72" s="6" t="s">
        <v>197</v>
      </c>
      <c r="B72" s="6">
        <v>16</v>
      </c>
      <c r="C72" s="54"/>
    </row>
    <row r="73" spans="1:3">
      <c r="A73" s="6" t="s">
        <v>200</v>
      </c>
      <c r="B73" s="17">
        <v>0.5</v>
      </c>
      <c r="C73" s="54"/>
    </row>
    <row r="74" spans="1:3">
      <c r="A74" s="6" t="s">
        <v>205</v>
      </c>
      <c r="B74" s="92">
        <f>ROUND(((B71/7)*6)-B72,2)</f>
        <v>297.07</v>
      </c>
      <c r="C74" s="54"/>
    </row>
    <row r="75" spans="1:3">
      <c r="A75" s="6" t="s">
        <v>206</v>
      </c>
      <c r="B75" s="34">
        <v>12</v>
      </c>
      <c r="C75" s="54"/>
    </row>
    <row r="76" spans="1:3" ht="25.5">
      <c r="A76" s="30" t="s">
        <v>207</v>
      </c>
      <c r="B76" s="6">
        <f>+((B70/B75)*B73)/B74</f>
        <v>2.6929679873430507E-2</v>
      </c>
      <c r="C76" s="54"/>
    </row>
    <row r="77" spans="1:3">
      <c r="A77" s="24" t="s">
        <v>208</v>
      </c>
      <c r="B77" s="24"/>
      <c r="C77" s="45">
        <f>+C69/B70*(B71-B74)*B76</f>
        <v>0</v>
      </c>
    </row>
    <row r="79" spans="1:3">
      <c r="A79" s="419" t="s">
        <v>219</v>
      </c>
      <c r="B79" s="419"/>
      <c r="C79" s="419"/>
    </row>
    <row r="80" spans="1:3">
      <c r="A80" s="6" t="s">
        <v>204</v>
      </c>
      <c r="B80" s="6">
        <f>+$B$4</f>
        <v>365.25</v>
      </c>
      <c r="C80" s="52"/>
    </row>
    <row r="81" spans="1:4">
      <c r="A81" s="6" t="s">
        <v>206</v>
      </c>
      <c r="B81" s="34">
        <v>12</v>
      </c>
      <c r="C81" s="52"/>
    </row>
    <row r="82" spans="1:4">
      <c r="A82" s="6" t="s">
        <v>213</v>
      </c>
      <c r="B82" s="17">
        <v>0.5</v>
      </c>
      <c r="C82" s="52"/>
      <c r="D82" s="109"/>
    </row>
    <row r="83" spans="1:4">
      <c r="A83" s="103" t="s">
        <v>388</v>
      </c>
      <c r="B83" s="34">
        <v>7</v>
      </c>
      <c r="C83" s="52"/>
      <c r="D83" s="109"/>
    </row>
    <row r="84" spans="1:4">
      <c r="A84" s="34" t="s">
        <v>220</v>
      </c>
      <c r="B84" s="51">
        <f>(365.25/12/2)/(7/7)</f>
        <v>15.21875</v>
      </c>
      <c r="C84" s="6"/>
      <c r="D84" s="109"/>
    </row>
    <row r="85" spans="1:4">
      <c r="A85" s="34" t="s">
        <v>221</v>
      </c>
      <c r="B85" s="6">
        <f>ROUND(+B84*B83,2)</f>
        <v>106.53</v>
      </c>
      <c r="C85" s="6"/>
    </row>
    <row r="86" spans="1:4">
      <c r="A86" s="34" t="s">
        <v>214</v>
      </c>
      <c r="B86" s="52"/>
      <c r="C86" s="18">
        <f>+'Vigilante 12X36 Noturno Des'!$D$14</f>
        <v>0</v>
      </c>
    </row>
    <row r="87" spans="1:4">
      <c r="A87" s="34" t="s">
        <v>31</v>
      </c>
      <c r="B87" s="52"/>
      <c r="C87" s="18">
        <f>+'Vigilante 12X36 Noturno Des'!$D$15</f>
        <v>0</v>
      </c>
    </row>
    <row r="88" spans="1:4">
      <c r="A88" s="34" t="s">
        <v>32</v>
      </c>
      <c r="B88" s="52"/>
      <c r="C88" s="18">
        <f>+'Vigilante 12X36 Noturno Des'!$D$16</f>
        <v>0</v>
      </c>
    </row>
    <row r="89" spans="1:4">
      <c r="A89" s="104" t="s">
        <v>193</v>
      </c>
      <c r="B89" s="52"/>
      <c r="C89" s="105">
        <f>SUM(C86:C88)</f>
        <v>0</v>
      </c>
      <c r="D89" s="88"/>
    </row>
    <row r="90" spans="1:4">
      <c r="A90" s="6" t="s">
        <v>102</v>
      </c>
      <c r="B90" s="106">
        <f>+B3</f>
        <v>220</v>
      </c>
      <c r="C90" s="52"/>
    </row>
    <row r="91" spans="1:4">
      <c r="A91" s="34" t="s">
        <v>215</v>
      </c>
      <c r="B91" s="17">
        <v>0.2</v>
      </c>
      <c r="C91" s="52"/>
    </row>
    <row r="92" spans="1:4">
      <c r="A92" s="34" t="s">
        <v>216</v>
      </c>
      <c r="B92" s="52"/>
      <c r="C92" s="8">
        <f>ROUND((C89/B90)*B91,2)</f>
        <v>0</v>
      </c>
    </row>
    <row r="93" spans="1:4">
      <c r="A93" s="34" t="s">
        <v>223</v>
      </c>
      <c r="B93" s="6">
        <v>60</v>
      </c>
      <c r="C93" s="52"/>
    </row>
    <row r="94" spans="1:4">
      <c r="A94" s="34" t="s">
        <v>222</v>
      </c>
      <c r="B94" s="6">
        <v>52.5</v>
      </c>
      <c r="C94" s="52"/>
    </row>
    <row r="95" spans="1:4">
      <c r="A95" s="34" t="s">
        <v>224</v>
      </c>
      <c r="B95" s="6">
        <f>+B93/B94</f>
        <v>1.1428571428571428</v>
      </c>
      <c r="C95" s="52"/>
    </row>
    <row r="96" spans="1:4">
      <c r="A96" s="34" t="s">
        <v>225</v>
      </c>
      <c r="B96" s="6">
        <f>ROUND(+B95*B85,2)</f>
        <v>121.75</v>
      </c>
      <c r="C96" s="52"/>
    </row>
    <row r="97" spans="1:3">
      <c r="A97" s="34" t="s">
        <v>226</v>
      </c>
      <c r="B97" s="6">
        <f>ROUND(B96-B85,2)</f>
        <v>15.22</v>
      </c>
      <c r="C97" s="53"/>
    </row>
    <row r="98" spans="1:3">
      <c r="A98" s="379" t="s">
        <v>227</v>
      </c>
      <c r="B98" s="379"/>
      <c r="C98" s="71">
        <f>+B97*C92</f>
        <v>0</v>
      </c>
    </row>
    <row r="100" spans="1:3">
      <c r="A100" s="419" t="s">
        <v>233</v>
      </c>
      <c r="B100" s="419"/>
      <c r="C100" s="419"/>
    </row>
    <row r="101" spans="1:3">
      <c r="A101" s="6" t="s">
        <v>204</v>
      </c>
      <c r="B101" s="6">
        <f>+$B$4</f>
        <v>365.25</v>
      </c>
      <c r="C101" s="52"/>
    </row>
    <row r="102" spans="1:3">
      <c r="A102" s="6" t="s">
        <v>206</v>
      </c>
      <c r="B102" s="34">
        <v>12</v>
      </c>
      <c r="C102" s="52"/>
    </row>
    <row r="103" spans="1:3">
      <c r="A103" s="6" t="s">
        <v>213</v>
      </c>
      <c r="B103" s="17">
        <v>0.5</v>
      </c>
      <c r="C103" s="52"/>
    </row>
    <row r="104" spans="1:3">
      <c r="A104" s="34" t="s">
        <v>234</v>
      </c>
      <c r="B104" s="6">
        <f>ROUND((B101/B102)*B103,2)</f>
        <v>15.22</v>
      </c>
      <c r="C104" s="52"/>
    </row>
    <row r="105" spans="1:3">
      <c r="A105" s="198" t="s">
        <v>235</v>
      </c>
      <c r="B105" s="199"/>
      <c r="C105" s="52"/>
    </row>
    <row r="106" spans="1:3">
      <c r="A106" s="6" t="s">
        <v>236</v>
      </c>
      <c r="B106" s="17">
        <v>0.06</v>
      </c>
      <c r="C106" s="52"/>
    </row>
    <row r="107" spans="1:3">
      <c r="A107" s="431" t="s">
        <v>237</v>
      </c>
      <c r="B107" s="432"/>
      <c r="C107" s="45">
        <f>ROUND((B104*(B105*2)-($B$6*B106)),2)</f>
        <v>0</v>
      </c>
    </row>
    <row r="109" spans="1:3">
      <c r="A109" s="419" t="s">
        <v>238</v>
      </c>
      <c r="B109" s="419"/>
      <c r="C109" s="419"/>
    </row>
    <row r="110" spans="1:3">
      <c r="A110" s="6" t="s">
        <v>204</v>
      </c>
      <c r="B110" s="6">
        <f>+$B$4</f>
        <v>365.25</v>
      </c>
      <c r="C110" s="52"/>
    </row>
    <row r="111" spans="1:3">
      <c r="A111" s="6" t="s">
        <v>206</v>
      </c>
      <c r="B111" s="34">
        <v>12</v>
      </c>
      <c r="C111" s="52"/>
    </row>
    <row r="112" spans="1:3">
      <c r="A112" s="6" t="s">
        <v>213</v>
      </c>
      <c r="B112" s="17">
        <v>0.5</v>
      </c>
      <c r="C112" s="52"/>
    </row>
    <row r="113" spans="1:3">
      <c r="A113" s="34" t="s">
        <v>234</v>
      </c>
      <c r="B113" s="6">
        <f>ROUND((B110/B111)*B112,2)</f>
        <v>15.22</v>
      </c>
      <c r="C113" s="52"/>
    </row>
    <row r="114" spans="1:3">
      <c r="A114" s="198" t="s">
        <v>239</v>
      </c>
      <c r="B114" s="199"/>
      <c r="C114" s="52"/>
    </row>
    <row r="115" spans="1:3">
      <c r="A115" s="6" t="s">
        <v>366</v>
      </c>
      <c r="B115" s="17">
        <v>0.2</v>
      </c>
      <c r="C115" s="52"/>
    </row>
    <row r="116" spans="1:3">
      <c r="A116" s="431" t="s">
        <v>239</v>
      </c>
      <c r="B116" s="432"/>
      <c r="C116" s="45">
        <f>ROUND((B113*(B114)-((B113*B114)*B115)),2)</f>
        <v>0</v>
      </c>
    </row>
    <row r="118" spans="1:3">
      <c r="A118" s="419" t="s">
        <v>240</v>
      </c>
      <c r="B118" s="419"/>
      <c r="C118" s="419"/>
    </row>
    <row r="119" spans="1:3">
      <c r="A119" s="6" t="s">
        <v>242</v>
      </c>
      <c r="B119" s="18">
        <f>+B7</f>
        <v>0</v>
      </c>
      <c r="C119" s="52"/>
    </row>
    <row r="120" spans="1:3">
      <c r="A120" s="6" t="s">
        <v>243</v>
      </c>
      <c r="B120" s="6">
        <v>12</v>
      </c>
      <c r="C120" s="52"/>
    </row>
    <row r="121" spans="1:3">
      <c r="A121" s="116" t="s">
        <v>244</v>
      </c>
      <c r="B121" s="114"/>
      <c r="C121" s="52"/>
    </row>
    <row r="122" spans="1:3">
      <c r="A122" s="379" t="s">
        <v>245</v>
      </c>
      <c r="B122" s="379"/>
      <c r="C122" s="45">
        <f>ROUND(+(B119/B120)*B121,2)</f>
        <v>0</v>
      </c>
    </row>
    <row r="124" spans="1:3">
      <c r="A124" s="426" t="s">
        <v>246</v>
      </c>
      <c r="B124" s="427"/>
      <c r="C124" s="428"/>
    </row>
    <row r="125" spans="1:3" s="60" customFormat="1">
      <c r="A125" s="117" t="s">
        <v>251</v>
      </c>
      <c r="B125" s="114">
        <f>+B121</f>
        <v>0</v>
      </c>
      <c r="C125" s="52"/>
    </row>
    <row r="126" spans="1:3">
      <c r="A126" s="6" t="s">
        <v>247</v>
      </c>
      <c r="B126" s="18">
        <f>+'Vigilante 12X36 Noturno Des'!$D$25</f>
        <v>0</v>
      </c>
      <c r="C126" s="52"/>
    </row>
    <row r="127" spans="1:3">
      <c r="A127" s="6" t="s">
        <v>46</v>
      </c>
      <c r="B127" s="18">
        <f>+'Vigilante 12X36 Noturno Des'!$D$31</f>
        <v>0</v>
      </c>
      <c r="C127" s="52"/>
    </row>
    <row r="128" spans="1:3">
      <c r="A128" s="111" t="s">
        <v>45</v>
      </c>
      <c r="B128" s="18">
        <f>+'Vigilante 12X36 Noturno Des'!$D$33</f>
        <v>0</v>
      </c>
      <c r="C128" s="52"/>
    </row>
    <row r="129" spans="1:3">
      <c r="A129" s="111" t="s">
        <v>44</v>
      </c>
      <c r="B129" s="18">
        <f>+'Vigilante 12X36 Noturno Des'!$D$34</f>
        <v>0</v>
      </c>
      <c r="C129" s="52"/>
    </row>
    <row r="130" spans="1:3">
      <c r="A130" s="104" t="s">
        <v>248</v>
      </c>
      <c r="B130" s="105">
        <f>SUM(B126:B129)</f>
        <v>0</v>
      </c>
      <c r="C130" s="52"/>
    </row>
    <row r="131" spans="1:3">
      <c r="A131" s="25" t="s">
        <v>249</v>
      </c>
      <c r="B131" s="17">
        <v>0.4</v>
      </c>
      <c r="C131" s="52"/>
    </row>
    <row r="132" spans="1:3">
      <c r="A132" s="25" t="s">
        <v>250</v>
      </c>
      <c r="B132" s="17">
        <f>+'Vigilante 12X36 Noturno Des'!$C$46</f>
        <v>0.08</v>
      </c>
      <c r="C132" s="52"/>
    </row>
    <row r="133" spans="1:3">
      <c r="A133" s="430" t="s">
        <v>252</v>
      </c>
      <c r="B133" s="430"/>
      <c r="C133" s="73">
        <f>ROUND(+B130*B131*B132*B125,2)</f>
        <v>0</v>
      </c>
    </row>
    <row r="134" spans="1:3">
      <c r="A134" s="25" t="s">
        <v>253</v>
      </c>
      <c r="B134" s="17">
        <v>0.1</v>
      </c>
      <c r="C134" s="52"/>
    </row>
    <row r="135" spans="1:3">
      <c r="A135" s="430" t="s">
        <v>254</v>
      </c>
      <c r="B135" s="430"/>
      <c r="C135" s="112">
        <f>ROUND(B134*B132*B130*B125,2)</f>
        <v>0</v>
      </c>
    </row>
    <row r="136" spans="1:3">
      <c r="A136" s="431" t="s">
        <v>255</v>
      </c>
      <c r="B136" s="432"/>
      <c r="C136" s="71">
        <f>+C135+C133</f>
        <v>0</v>
      </c>
    </row>
    <row r="138" spans="1:3">
      <c r="A138" s="419" t="s">
        <v>256</v>
      </c>
      <c r="B138" s="419"/>
      <c r="C138" s="419"/>
    </row>
    <row r="139" spans="1:3">
      <c r="A139" s="6" t="s">
        <v>242</v>
      </c>
      <c r="B139" s="18">
        <f>+B7</f>
        <v>0</v>
      </c>
      <c r="C139" s="52"/>
    </row>
    <row r="140" spans="1:3">
      <c r="A140" s="6" t="s">
        <v>257</v>
      </c>
      <c r="B140" s="113">
        <v>30</v>
      </c>
      <c r="C140" s="52"/>
    </row>
    <row r="141" spans="1:3">
      <c r="A141" s="6" t="s">
        <v>243</v>
      </c>
      <c r="B141" s="6">
        <v>12</v>
      </c>
      <c r="C141" s="52"/>
    </row>
    <row r="142" spans="1:3">
      <c r="A142" s="6" t="s">
        <v>258</v>
      </c>
      <c r="B142" s="6">
        <v>7</v>
      </c>
      <c r="C142" s="52"/>
    </row>
    <row r="143" spans="1:3">
      <c r="A143" s="116" t="s">
        <v>294</v>
      </c>
      <c r="B143" s="114"/>
      <c r="C143" s="52"/>
    </row>
    <row r="144" spans="1:3">
      <c r="A144" s="379" t="s">
        <v>369</v>
      </c>
      <c r="B144" s="379"/>
      <c r="C144" s="45">
        <f>+ROUND(((B139/B140/B141)*B142)*B143,2)</f>
        <v>0</v>
      </c>
    </row>
    <row r="146" spans="1:3">
      <c r="A146" s="426" t="s">
        <v>259</v>
      </c>
      <c r="B146" s="427"/>
      <c r="C146" s="428"/>
    </row>
    <row r="147" spans="1:3">
      <c r="A147" s="115" t="s">
        <v>260</v>
      </c>
      <c r="B147" s="114">
        <f>+B143</f>
        <v>0</v>
      </c>
      <c r="C147" s="52"/>
    </row>
    <row r="148" spans="1:3">
      <c r="A148" s="6" t="s">
        <v>247</v>
      </c>
      <c r="B148" s="18">
        <f>+'Vigilante 12X36 Noturno Des'!$D$25</f>
        <v>0</v>
      </c>
      <c r="C148" s="52"/>
    </row>
    <row r="149" spans="1:3">
      <c r="A149" s="6" t="s">
        <v>46</v>
      </c>
      <c r="B149" s="18">
        <f>+'Vigilante 12X36 Noturno Des'!$D$31</f>
        <v>0</v>
      </c>
      <c r="C149" s="52"/>
    </row>
    <row r="150" spans="1:3">
      <c r="A150" s="111" t="s">
        <v>45</v>
      </c>
      <c r="B150" s="18">
        <f>+'Vigilante 12X36 Noturno Des'!$D$33</f>
        <v>0</v>
      </c>
      <c r="C150" s="52"/>
    </row>
    <row r="151" spans="1:3">
      <c r="A151" s="111" t="s">
        <v>44</v>
      </c>
      <c r="B151" s="18">
        <f>+'Vigilante 12X36 Noturno Des'!$D$34</f>
        <v>0</v>
      </c>
      <c r="C151" s="52"/>
    </row>
    <row r="152" spans="1:3">
      <c r="A152" s="104" t="s">
        <v>248</v>
      </c>
      <c r="B152" s="105">
        <f>SUM(B148:B151)</f>
        <v>0</v>
      </c>
      <c r="C152" s="52"/>
    </row>
    <row r="153" spans="1:3">
      <c r="A153" s="25" t="s">
        <v>249</v>
      </c>
      <c r="B153" s="17">
        <v>0.4</v>
      </c>
      <c r="C153" s="52"/>
    </row>
    <row r="154" spans="1:3">
      <c r="A154" s="25" t="s">
        <v>250</v>
      </c>
      <c r="B154" s="17">
        <f>+'Vigilante 12X36 Noturno Des'!$C$46</f>
        <v>0.08</v>
      </c>
      <c r="C154" s="52"/>
    </row>
    <row r="155" spans="1:3">
      <c r="A155" s="430" t="s">
        <v>252</v>
      </c>
      <c r="B155" s="430"/>
      <c r="C155" s="73">
        <f>ROUND(+B152*B153*B154*B147,2)</f>
        <v>0</v>
      </c>
    </row>
    <row r="156" spans="1:3">
      <c r="A156" s="25" t="s">
        <v>253</v>
      </c>
      <c r="B156" s="17">
        <v>0.1</v>
      </c>
      <c r="C156" s="52"/>
    </row>
    <row r="157" spans="1:3">
      <c r="A157" s="430" t="s">
        <v>254</v>
      </c>
      <c r="B157" s="430"/>
      <c r="C157" s="112">
        <f>ROUND(B156*B154*B152*B147,2)</f>
        <v>0</v>
      </c>
    </row>
    <row r="158" spans="1:3">
      <c r="A158" s="431" t="s">
        <v>387</v>
      </c>
      <c r="B158" s="432"/>
      <c r="C158" s="71">
        <f>+C157+C155</f>
        <v>0</v>
      </c>
    </row>
    <row r="160" spans="1:3">
      <c r="A160" s="426" t="s">
        <v>262</v>
      </c>
      <c r="B160" s="427"/>
      <c r="C160" s="428"/>
    </row>
    <row r="161" spans="1:3">
      <c r="A161" s="429" t="s">
        <v>359</v>
      </c>
      <c r="B161" s="429"/>
      <c r="C161" s="429"/>
    </row>
    <row r="162" spans="1:3">
      <c r="A162" s="429"/>
      <c r="B162" s="429"/>
      <c r="C162" s="429"/>
    </row>
    <row r="163" spans="1:3">
      <c r="A163" s="429"/>
      <c r="B163" s="429"/>
      <c r="C163" s="429"/>
    </row>
    <row r="164" spans="1:3">
      <c r="A164" s="429"/>
      <c r="B164" s="429"/>
      <c r="C164" s="429"/>
    </row>
    <row r="165" spans="1:3">
      <c r="A165" s="119"/>
      <c r="B165" s="119"/>
      <c r="C165" s="119"/>
    </row>
    <row r="166" spans="1:3">
      <c r="A166" s="422" t="s">
        <v>261</v>
      </c>
      <c r="B166" s="422"/>
      <c r="C166" s="422"/>
    </row>
    <row r="167" spans="1:3">
      <c r="A167" s="6" t="s">
        <v>263</v>
      </c>
      <c r="B167" s="18">
        <f>+$B$7</f>
        <v>0</v>
      </c>
      <c r="C167" s="52"/>
    </row>
    <row r="168" spans="1:3">
      <c r="A168" s="6" t="s">
        <v>206</v>
      </c>
      <c r="B168" s="6">
        <v>30</v>
      </c>
      <c r="C168" s="52"/>
    </row>
    <row r="169" spans="1:3">
      <c r="A169" s="6" t="s">
        <v>264</v>
      </c>
      <c r="B169" s="6">
        <v>12</v>
      </c>
      <c r="C169" s="52"/>
    </row>
    <row r="170" spans="1:3">
      <c r="A170" s="116" t="s">
        <v>265</v>
      </c>
      <c r="B170" s="116"/>
      <c r="C170" s="52"/>
    </row>
    <row r="171" spans="1:3">
      <c r="A171" s="379" t="s">
        <v>266</v>
      </c>
      <c r="B171" s="379"/>
      <c r="C171" s="24">
        <f>+ROUND((B167/B168/B169)*B170,2)</f>
        <v>0</v>
      </c>
    </row>
    <row r="173" spans="1:3">
      <c r="A173" s="422" t="s">
        <v>269</v>
      </c>
      <c r="B173" s="422"/>
      <c r="C173" s="422"/>
    </row>
    <row r="174" spans="1:3">
      <c r="A174" s="6" t="s">
        <v>263</v>
      </c>
      <c r="B174" s="18">
        <f>+$B$7</f>
        <v>0</v>
      </c>
      <c r="C174" s="52"/>
    </row>
    <row r="175" spans="1:3">
      <c r="A175" s="6" t="s">
        <v>206</v>
      </c>
      <c r="B175" s="6">
        <v>30</v>
      </c>
      <c r="C175" s="52"/>
    </row>
    <row r="176" spans="1:3">
      <c r="A176" s="6" t="s">
        <v>264</v>
      </c>
      <c r="B176" s="6">
        <v>12</v>
      </c>
      <c r="C176" s="52"/>
    </row>
    <row r="177" spans="1:3">
      <c r="A177" s="34" t="s">
        <v>267</v>
      </c>
      <c r="B177" s="6">
        <v>5</v>
      </c>
      <c r="C177" s="52"/>
    </row>
    <row r="178" spans="1:3">
      <c r="A178" s="116" t="s">
        <v>268</v>
      </c>
      <c r="B178" s="114"/>
      <c r="C178" s="52"/>
    </row>
    <row r="179" spans="1:3">
      <c r="A179" s="116" t="s">
        <v>270</v>
      </c>
      <c r="B179" s="114"/>
      <c r="C179" s="52"/>
    </row>
    <row r="180" spans="1:3">
      <c r="A180" s="379" t="s">
        <v>271</v>
      </c>
      <c r="B180" s="379"/>
      <c r="C180" s="45">
        <f>ROUND(+B174/B175/B176*B177*B178*B179,2)</f>
        <v>0</v>
      </c>
    </row>
    <row r="182" spans="1:3">
      <c r="A182" s="422" t="s">
        <v>272</v>
      </c>
      <c r="B182" s="422"/>
      <c r="C182" s="422"/>
    </row>
    <row r="183" spans="1:3">
      <c r="A183" s="6" t="s">
        <v>263</v>
      </c>
      <c r="B183" s="18">
        <f>+$B$7</f>
        <v>0</v>
      </c>
      <c r="C183" s="52"/>
    </row>
    <row r="184" spans="1:3">
      <c r="A184" s="6" t="s">
        <v>206</v>
      </c>
      <c r="B184" s="6">
        <v>30</v>
      </c>
      <c r="C184" s="52"/>
    </row>
    <row r="185" spans="1:3">
      <c r="A185" s="6" t="s">
        <v>264</v>
      </c>
      <c r="B185" s="6">
        <v>12</v>
      </c>
      <c r="C185" s="52"/>
    </row>
    <row r="186" spans="1:3">
      <c r="A186" s="34" t="s">
        <v>273</v>
      </c>
      <c r="B186" s="6">
        <v>15</v>
      </c>
      <c r="C186" s="52"/>
    </row>
    <row r="187" spans="1:3">
      <c r="A187" s="116" t="s">
        <v>274</v>
      </c>
      <c r="B187" s="114"/>
      <c r="C187" s="52"/>
    </row>
    <row r="188" spans="1:3">
      <c r="A188" s="379" t="s">
        <v>370</v>
      </c>
      <c r="B188" s="379"/>
      <c r="C188" s="45">
        <f>ROUND(+B183/B184/B185*B186*B187,2)</f>
        <v>0</v>
      </c>
    </row>
    <row r="190" spans="1:3">
      <c r="A190" s="422" t="s">
        <v>275</v>
      </c>
      <c r="B190" s="422"/>
      <c r="C190" s="422"/>
    </row>
    <row r="191" spans="1:3">
      <c r="A191" s="6" t="s">
        <v>263</v>
      </c>
      <c r="B191" s="18">
        <f>+$B$7</f>
        <v>0</v>
      </c>
      <c r="C191" s="52"/>
    </row>
    <row r="192" spans="1:3">
      <c r="A192" s="6" t="s">
        <v>206</v>
      </c>
      <c r="B192" s="6">
        <v>30</v>
      </c>
      <c r="C192" s="52"/>
    </row>
    <row r="193" spans="1:3">
      <c r="A193" s="6" t="s">
        <v>264</v>
      </c>
      <c r="B193" s="6">
        <v>12</v>
      </c>
      <c r="C193" s="52"/>
    </row>
    <row r="194" spans="1:3">
      <c r="A194" s="34" t="s">
        <v>273</v>
      </c>
      <c r="B194" s="6">
        <v>5</v>
      </c>
      <c r="C194" s="52"/>
    </row>
    <row r="195" spans="1:3">
      <c r="A195" s="116" t="s">
        <v>276</v>
      </c>
      <c r="B195" s="114"/>
      <c r="C195" s="52"/>
    </row>
    <row r="196" spans="1:3">
      <c r="A196" s="379" t="s">
        <v>371</v>
      </c>
      <c r="B196" s="379"/>
      <c r="C196" s="45">
        <f>ROUND(+B191/B192/B193*B194*B195,2)</f>
        <v>0</v>
      </c>
    </row>
    <row r="198" spans="1:3">
      <c r="A198" s="419" t="s">
        <v>108</v>
      </c>
      <c r="B198" s="419"/>
      <c r="C198" s="419"/>
    </row>
    <row r="199" spans="1:3">
      <c r="A199" s="83" t="s">
        <v>23</v>
      </c>
      <c r="B199" s="87"/>
      <c r="C199" s="18">
        <f>+'Vigilante 12X36 Noturno Des'!D25-'Vigilante 12X36 Noturno Des'!D23</f>
        <v>0</v>
      </c>
    </row>
    <row r="200" spans="1:3">
      <c r="A200" s="83" t="s">
        <v>68</v>
      </c>
      <c r="B200" s="87"/>
      <c r="C200" s="18">
        <f>+'Vigilante 12X36 Noturno Des'!D70</f>
        <v>0</v>
      </c>
    </row>
    <row r="201" spans="1:3">
      <c r="A201" s="83" t="s">
        <v>153</v>
      </c>
      <c r="B201" s="87"/>
      <c r="C201" s="18">
        <f>+'Vigilante 12X36 Noturno Des'!D118</f>
        <v>0</v>
      </c>
    </row>
    <row r="202" spans="1:3">
      <c r="A202" s="83" t="s">
        <v>86</v>
      </c>
      <c r="B202" s="87"/>
      <c r="C202" s="18">
        <f>+'Vigilante 12X36 Noturno Des'!D109</f>
        <v>0</v>
      </c>
    </row>
    <row r="203" spans="1:3">
      <c r="A203" s="83" t="s">
        <v>92</v>
      </c>
      <c r="B203" s="87"/>
      <c r="C203" s="18">
        <f>+'Vigilante 12X36 Noturno Des'!D110</f>
        <v>0</v>
      </c>
    </row>
    <row r="204" spans="1:3">
      <c r="A204" s="83" t="s">
        <v>70</v>
      </c>
      <c r="B204" s="87"/>
      <c r="C204" s="18">
        <f>+'Vigilante 12X36 Noturno Des'!D81</f>
        <v>0</v>
      </c>
    </row>
    <row r="205" spans="1:3">
      <c r="A205" s="83" t="s">
        <v>193</v>
      </c>
      <c r="B205" s="87"/>
      <c r="C205" s="18">
        <f>SUM(C199:C204)</f>
        <v>0</v>
      </c>
    </row>
    <row r="206" spans="1:3">
      <c r="A206" s="83" t="s">
        <v>102</v>
      </c>
      <c r="B206" s="84">
        <v>220</v>
      </c>
      <c r="C206" s="85"/>
    </row>
    <row r="207" spans="1:3">
      <c r="A207" s="83" t="s">
        <v>103</v>
      </c>
      <c r="B207" s="87"/>
      <c r="C207" s="18">
        <f>ROUND(C205/B206,2)</f>
        <v>0</v>
      </c>
    </row>
    <row r="208" spans="1:3">
      <c r="A208" s="6" t="s">
        <v>104</v>
      </c>
      <c r="B208" s="51">
        <f>(365.25/12/2)/(7/7)</f>
        <v>15.21875</v>
      </c>
      <c r="C208" s="58"/>
    </row>
    <row r="209" spans="1:3">
      <c r="A209" s="431" t="s">
        <v>106</v>
      </c>
      <c r="B209" s="432"/>
      <c r="C209" s="71">
        <f>ROUND(+B208*C207,2)</f>
        <v>0</v>
      </c>
    </row>
    <row r="211" spans="1:3">
      <c r="A211" s="422" t="s">
        <v>277</v>
      </c>
      <c r="B211" s="422"/>
      <c r="C211" s="422"/>
    </row>
    <row r="212" spans="1:3">
      <c r="A212" s="423" t="s">
        <v>282</v>
      </c>
      <c r="B212" s="424"/>
      <c r="C212" s="425"/>
    </row>
    <row r="213" spans="1:3">
      <c r="A213" s="6" t="s">
        <v>263</v>
      </c>
      <c r="B213" s="18">
        <f>+$B$7</f>
        <v>0</v>
      </c>
      <c r="C213" s="52"/>
    </row>
    <row r="214" spans="1:3">
      <c r="A214" s="6" t="s">
        <v>281</v>
      </c>
      <c r="B214" s="18">
        <f>+B213*(1/3)</f>
        <v>0</v>
      </c>
      <c r="C214" s="52"/>
    </row>
    <row r="215" spans="1:3">
      <c r="A215" s="104" t="s">
        <v>248</v>
      </c>
      <c r="B215" s="105">
        <f>SUM(B213:B214)</f>
        <v>0</v>
      </c>
      <c r="C215" s="52"/>
    </row>
    <row r="216" spans="1:3">
      <c r="A216" s="6" t="s">
        <v>278</v>
      </c>
      <c r="B216" s="6">
        <v>4</v>
      </c>
      <c r="C216" s="52"/>
    </row>
    <row r="217" spans="1:3">
      <c r="A217" s="6" t="s">
        <v>264</v>
      </c>
      <c r="B217" s="6">
        <v>12</v>
      </c>
      <c r="C217" s="52"/>
    </row>
    <row r="218" spans="1:3">
      <c r="A218" s="116" t="s">
        <v>279</v>
      </c>
      <c r="B218" s="114"/>
      <c r="C218" s="52"/>
    </row>
    <row r="219" spans="1:3">
      <c r="A219" s="116" t="s">
        <v>280</v>
      </c>
      <c r="B219" s="114"/>
      <c r="C219" s="52"/>
    </row>
    <row r="220" spans="1:3">
      <c r="A220" s="379" t="s">
        <v>283</v>
      </c>
      <c r="B220" s="379"/>
      <c r="C220" s="45">
        <f>ROUND((((+B215*(B216/B217)/B217)*B218)*B219),2)</f>
        <v>0</v>
      </c>
    </row>
    <row r="221" spans="1:3">
      <c r="A221" s="379" t="s">
        <v>284</v>
      </c>
      <c r="B221" s="379"/>
      <c r="C221" s="379"/>
    </row>
    <row r="222" spans="1:3">
      <c r="A222" s="6" t="s">
        <v>263</v>
      </c>
      <c r="B222" s="18">
        <f>+'Vigilante 12X36 Noturno Des'!D25</f>
        <v>0</v>
      </c>
      <c r="C222" s="52"/>
    </row>
    <row r="223" spans="1:3">
      <c r="A223" s="6" t="s">
        <v>46</v>
      </c>
      <c r="B223" s="18">
        <f>+'Vigilante 12X36 Noturno Des'!D31</f>
        <v>0</v>
      </c>
      <c r="C223" s="52"/>
    </row>
    <row r="224" spans="1:3">
      <c r="A224" s="104" t="s">
        <v>248</v>
      </c>
      <c r="B224" s="105">
        <f>SUM(B222:B223)</f>
        <v>0</v>
      </c>
      <c r="C224" s="52"/>
    </row>
    <row r="225" spans="1:3">
      <c r="A225" s="6" t="s">
        <v>278</v>
      </c>
      <c r="B225" s="6">
        <v>4</v>
      </c>
      <c r="C225" s="52"/>
    </row>
    <row r="226" spans="1:3">
      <c r="A226" s="6" t="s">
        <v>264</v>
      </c>
      <c r="B226" s="6">
        <v>12</v>
      </c>
      <c r="C226" s="52"/>
    </row>
    <row r="227" spans="1:3">
      <c r="A227" s="116" t="s">
        <v>279</v>
      </c>
      <c r="B227" s="114"/>
      <c r="C227" s="52"/>
    </row>
    <row r="228" spans="1:3">
      <c r="A228" s="116" t="s">
        <v>280</v>
      </c>
      <c r="B228" s="114"/>
      <c r="C228" s="52"/>
    </row>
    <row r="229" spans="1:3">
      <c r="A229" s="34" t="s">
        <v>285</v>
      </c>
      <c r="B229" s="17">
        <f>+'Vigilante 12X36 Noturno Des'!C47</f>
        <v>0.36800000000000005</v>
      </c>
      <c r="C229" s="52"/>
    </row>
    <row r="230" spans="1:3">
      <c r="A230" s="379" t="s">
        <v>286</v>
      </c>
      <c r="B230" s="379"/>
      <c r="C230" s="71">
        <f>ROUND((((B224*(B225/B226)*B227)*B228)*B229),2)</f>
        <v>0</v>
      </c>
    </row>
  </sheetData>
  <mergeCells count="44">
    <mergeCell ref="A221:C221"/>
    <mergeCell ref="A230:B230"/>
    <mergeCell ref="A196:B196"/>
    <mergeCell ref="A198:C198"/>
    <mergeCell ref="A209:B209"/>
    <mergeCell ref="A211:C211"/>
    <mergeCell ref="A212:C212"/>
    <mergeCell ref="A220:B220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</mergeCells>
  <pageMargins left="0.98425196850393704" right="0.11811023622047245" top="0.78740157480314965" bottom="0.78740157480314965" header="0.31496062992125984" footer="0.31496062992125984"/>
  <pageSetup paperSize="9" scale="85" orientation="portrait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F186"/>
  <sheetViews>
    <sheetView workbookViewId="0">
      <selection activeCell="A20" sqref="A20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5" spans="1:6">
      <c r="A5" s="373" t="s">
        <v>16</v>
      </c>
      <c r="B5" s="374"/>
      <c r="C5" s="374"/>
      <c r="D5" s="390"/>
    </row>
    <row r="6" spans="1:6" s="1" customFormat="1" ht="28.5" customHeight="1">
      <c r="A6" s="178">
        <v>1</v>
      </c>
      <c r="B6" s="179" t="s">
        <v>17</v>
      </c>
      <c r="C6" s="464" t="s">
        <v>358</v>
      </c>
      <c r="D6" s="465"/>
    </row>
    <row r="7" spans="1:6" s="1" customFormat="1">
      <c r="A7" s="178">
        <v>2</v>
      </c>
      <c r="B7" s="179" t="s">
        <v>18</v>
      </c>
      <c r="C7" s="466" t="s">
        <v>295</v>
      </c>
      <c r="D7" s="467"/>
    </row>
    <row r="8" spans="1:6" s="1" customFormat="1">
      <c r="A8" s="178">
        <v>3</v>
      </c>
      <c r="B8" s="179" t="s">
        <v>19</v>
      </c>
      <c r="C8" s="401"/>
      <c r="D8" s="401"/>
    </row>
    <row r="9" spans="1:6" s="1" customFormat="1" ht="43.5" customHeight="1">
      <c r="A9" s="178">
        <v>4</v>
      </c>
      <c r="B9" s="179" t="s">
        <v>21</v>
      </c>
      <c r="C9" s="468" t="s">
        <v>296</v>
      </c>
      <c r="D9" s="469"/>
    </row>
    <row r="10" spans="1:6" s="1" customFormat="1">
      <c r="A10" s="178">
        <v>5</v>
      </c>
      <c r="B10" s="179" t="s">
        <v>20</v>
      </c>
      <c r="C10" s="470">
        <v>42795</v>
      </c>
      <c r="D10" s="467"/>
    </row>
    <row r="11" spans="1:6">
      <c r="D11" s="196"/>
    </row>
    <row r="12" spans="1:6">
      <c r="A12" s="409" t="s">
        <v>22</v>
      </c>
      <c r="B12" s="409"/>
      <c r="C12" s="409"/>
      <c r="D12" s="409"/>
    </row>
    <row r="13" spans="1:6">
      <c r="A13" s="4">
        <v>1</v>
      </c>
      <c r="B13" s="94" t="s">
        <v>23</v>
      </c>
      <c r="C13" s="171" t="s">
        <v>50</v>
      </c>
      <c r="D13" s="5" t="s">
        <v>24</v>
      </c>
    </row>
    <row r="14" spans="1:6">
      <c r="A14" s="172" t="s">
        <v>3</v>
      </c>
      <c r="B14" s="323" t="s">
        <v>30</v>
      </c>
      <c r="C14" s="323"/>
      <c r="D14" s="7">
        <f>+C8</f>
        <v>0</v>
      </c>
    </row>
    <row r="15" spans="1:6">
      <c r="A15" s="172" t="s">
        <v>4</v>
      </c>
      <c r="B15" s="89" t="s">
        <v>31</v>
      </c>
      <c r="C15" s="95">
        <v>0.3</v>
      </c>
      <c r="D15" s="7">
        <f>+(D14+D24)*C15</f>
        <v>0</v>
      </c>
      <c r="E15" s="88"/>
    </row>
    <row r="16" spans="1:6">
      <c r="A16" s="172" t="s">
        <v>5</v>
      </c>
      <c r="B16" s="89" t="s">
        <v>32</v>
      </c>
      <c r="C16" s="95"/>
      <c r="D16" s="7"/>
    </row>
    <row r="17" spans="1:6">
      <c r="A17" s="172" t="s">
        <v>6</v>
      </c>
      <c r="B17" s="323" t="s">
        <v>33</v>
      </c>
      <c r="C17" s="323"/>
      <c r="D17" s="7"/>
    </row>
    <row r="18" spans="1:6">
      <c r="A18" s="172" t="s">
        <v>25</v>
      </c>
      <c r="B18" s="323" t="s">
        <v>34</v>
      </c>
      <c r="C18" s="323"/>
      <c r="D18" s="7"/>
    </row>
    <row r="19" spans="1:6">
      <c r="A19" s="172" t="s">
        <v>26</v>
      </c>
      <c r="B19" s="412" t="s">
        <v>231</v>
      </c>
      <c r="C19" s="413"/>
      <c r="D19" s="7"/>
    </row>
    <row r="20" spans="1:6">
      <c r="A20" s="172" t="s">
        <v>27</v>
      </c>
      <c r="B20" s="323" t="s">
        <v>35</v>
      </c>
      <c r="C20" s="323"/>
      <c r="D20" s="7"/>
    </row>
    <row r="21" spans="1:6">
      <c r="A21" s="172" t="s">
        <v>28</v>
      </c>
      <c r="B21" s="412" t="s">
        <v>195</v>
      </c>
      <c r="C21" s="413"/>
      <c r="D21" s="93"/>
    </row>
    <row r="22" spans="1:6">
      <c r="A22" s="172" t="s">
        <v>64</v>
      </c>
      <c r="B22" s="89" t="s">
        <v>65</v>
      </c>
      <c r="C22" s="95"/>
      <c r="D22" s="7"/>
    </row>
    <row r="23" spans="1:6">
      <c r="A23" s="172" t="s">
        <v>194</v>
      </c>
      <c r="B23" s="323" t="s">
        <v>95</v>
      </c>
      <c r="C23" s="323"/>
      <c r="D23" s="8"/>
      <c r="F23" s="98"/>
    </row>
    <row r="24" spans="1:6">
      <c r="A24" s="172" t="s">
        <v>196</v>
      </c>
      <c r="B24" s="412" t="s">
        <v>345</v>
      </c>
      <c r="C24" s="413"/>
      <c r="D24" s="8">
        <f>+'Calculo 5x2 12h Arm'!C50</f>
        <v>0</v>
      </c>
      <c r="F24" s="98"/>
    </row>
    <row r="25" spans="1:6">
      <c r="A25" s="172" t="s">
        <v>343</v>
      </c>
      <c r="B25" s="323" t="s">
        <v>36</v>
      </c>
      <c r="C25" s="323"/>
      <c r="D25" s="8"/>
    </row>
    <row r="26" spans="1:6">
      <c r="A26" s="380" t="s">
        <v>29</v>
      </c>
      <c r="B26" s="380"/>
      <c r="C26" s="380"/>
      <c r="D26" s="9">
        <f>SUM(D14:D25)</f>
        <v>0</v>
      </c>
    </row>
    <row r="28" spans="1:6">
      <c r="A28" s="409" t="s">
        <v>37</v>
      </c>
      <c r="B28" s="409"/>
      <c r="C28" s="409"/>
      <c r="D28" s="409"/>
    </row>
    <row r="30" spans="1:6">
      <c r="A30" s="409" t="s">
        <v>38</v>
      </c>
      <c r="B30" s="409"/>
      <c r="C30" s="409"/>
      <c r="D30" s="409"/>
    </row>
    <row r="31" spans="1:6">
      <c r="A31" s="19" t="s">
        <v>39</v>
      </c>
      <c r="B31" s="14" t="s">
        <v>40</v>
      </c>
      <c r="C31" s="22" t="s">
        <v>50</v>
      </c>
      <c r="D31" s="20" t="s">
        <v>24</v>
      </c>
    </row>
    <row r="32" spans="1:6">
      <c r="A32" s="172" t="s">
        <v>3</v>
      </c>
      <c r="B32" s="6" t="s">
        <v>46</v>
      </c>
      <c r="C32" s="29" t="e">
        <f>ROUND(+D32/$D$26,4)</f>
        <v>#DIV/0!</v>
      </c>
      <c r="D32" s="8">
        <f>ROUND(+D26/12,2)</f>
        <v>0</v>
      </c>
    </row>
    <row r="33" spans="1:4">
      <c r="A33" s="28" t="s">
        <v>4</v>
      </c>
      <c r="B33" s="37" t="s">
        <v>43</v>
      </c>
      <c r="C33" s="38" t="e">
        <f>ROUND(+D33/$D$26,4)</f>
        <v>#DIV/0!</v>
      </c>
      <c r="D33" s="39">
        <f>+D34+D35</f>
        <v>0</v>
      </c>
    </row>
    <row r="34" spans="1:4">
      <c r="A34" s="172" t="s">
        <v>41</v>
      </c>
      <c r="B34" s="35" t="s">
        <v>45</v>
      </c>
      <c r="C34" s="40" t="e">
        <f>ROUND(+D34/$D$26,4)</f>
        <v>#DIV/0!</v>
      </c>
      <c r="D34" s="36">
        <f>ROUND(+D26/12,2)</f>
        <v>0</v>
      </c>
    </row>
    <row r="35" spans="1:4">
      <c r="A35" s="172" t="s">
        <v>42</v>
      </c>
      <c r="B35" s="35" t="s">
        <v>44</v>
      </c>
      <c r="C35" s="40" t="e">
        <f>ROUND(+D35/$D$26,4)</f>
        <v>#DIV/0!</v>
      </c>
      <c r="D35" s="36">
        <f>ROUND(+(D26*1/3)/12,2)</f>
        <v>0</v>
      </c>
    </row>
    <row r="36" spans="1:4">
      <c r="A36" s="380" t="s">
        <v>29</v>
      </c>
      <c r="B36" s="380"/>
      <c r="C36" s="380"/>
      <c r="D36" s="9">
        <f>+D33+D32</f>
        <v>0</v>
      </c>
    </row>
    <row r="38" spans="1:4">
      <c r="A38" s="404" t="s">
        <v>47</v>
      </c>
      <c r="B38" s="404"/>
      <c r="C38" s="404"/>
      <c r="D38" s="404"/>
    </row>
    <row r="39" spans="1:4">
      <c r="A39" s="19" t="s">
        <v>48</v>
      </c>
      <c r="B39" s="21" t="s">
        <v>49</v>
      </c>
      <c r="C39" s="22" t="s">
        <v>50</v>
      </c>
      <c r="D39" s="20" t="s">
        <v>24</v>
      </c>
    </row>
    <row r="40" spans="1:4">
      <c r="A40" s="172" t="s">
        <v>3</v>
      </c>
      <c r="B40" s="6" t="s">
        <v>51</v>
      </c>
      <c r="C40" s="17">
        <v>0.2</v>
      </c>
      <c r="D40" s="18">
        <f>ROUND(C40*($D$26+$D$36),2)</f>
        <v>0</v>
      </c>
    </row>
    <row r="41" spans="1:4">
      <c r="A41" s="172" t="s">
        <v>4</v>
      </c>
      <c r="B41" s="6" t="s">
        <v>52</v>
      </c>
      <c r="C41" s="17">
        <v>2.5000000000000001E-2</v>
      </c>
      <c r="D41" s="18">
        <f t="shared" ref="D41:D46" si="0">ROUND(C41*($D$26+$D$36),2)</f>
        <v>0</v>
      </c>
    </row>
    <row r="42" spans="1:4">
      <c r="A42" s="172" t="s">
        <v>5</v>
      </c>
      <c r="B42" s="6" t="s">
        <v>58</v>
      </c>
      <c r="C42" s="17">
        <f>3%</f>
        <v>0.03</v>
      </c>
      <c r="D42" s="18">
        <f t="shared" si="0"/>
        <v>0</v>
      </c>
    </row>
    <row r="43" spans="1:4">
      <c r="A43" s="172" t="s">
        <v>6</v>
      </c>
      <c r="B43" s="6" t="s">
        <v>53</v>
      </c>
      <c r="C43" s="17">
        <v>1.4999999999999999E-2</v>
      </c>
      <c r="D43" s="18">
        <f t="shared" si="0"/>
        <v>0</v>
      </c>
    </row>
    <row r="44" spans="1:4">
      <c r="A44" s="172" t="s">
        <v>25</v>
      </c>
      <c r="B44" s="6" t="s">
        <v>54</v>
      </c>
      <c r="C44" s="17">
        <v>0.01</v>
      </c>
      <c r="D44" s="18">
        <f t="shared" si="0"/>
        <v>0</v>
      </c>
    </row>
    <row r="45" spans="1:4">
      <c r="A45" s="172" t="s">
        <v>26</v>
      </c>
      <c r="B45" s="6" t="s">
        <v>55</v>
      </c>
      <c r="C45" s="17">
        <v>6.0000000000000001E-3</v>
      </c>
      <c r="D45" s="18">
        <f t="shared" si="0"/>
        <v>0</v>
      </c>
    </row>
    <row r="46" spans="1:4">
      <c r="A46" s="172" t="s">
        <v>27</v>
      </c>
      <c r="B46" s="6" t="s">
        <v>56</v>
      </c>
      <c r="C46" s="17">
        <v>2E-3</v>
      </c>
      <c r="D46" s="18">
        <f t="shared" si="0"/>
        <v>0</v>
      </c>
    </row>
    <row r="47" spans="1:4">
      <c r="A47" s="172" t="s">
        <v>28</v>
      </c>
      <c r="B47" s="6" t="s">
        <v>57</v>
      </c>
      <c r="C47" s="17">
        <v>0.08</v>
      </c>
      <c r="D47" s="18">
        <f>ROUND(C47*($D$26+$D$36),2)</f>
        <v>0</v>
      </c>
    </row>
    <row r="48" spans="1:4">
      <c r="A48" s="173" t="s">
        <v>29</v>
      </c>
      <c r="B48" s="175"/>
      <c r="C48" s="41">
        <f>SUM(C40:C47)</f>
        <v>0.36800000000000005</v>
      </c>
      <c r="D48" s="42">
        <f>SUM(D40:D47)</f>
        <v>0</v>
      </c>
    </row>
    <row r="49" spans="1:6">
      <c r="A49" s="43"/>
      <c r="B49" s="43"/>
      <c r="C49" s="43"/>
      <c r="D49" s="43"/>
    </row>
    <row r="50" spans="1:6" ht="12.75" customHeight="1">
      <c r="A50" s="404" t="s">
        <v>59</v>
      </c>
      <c r="B50" s="404"/>
      <c r="C50" s="404"/>
      <c r="D50" s="404"/>
    </row>
    <row r="51" spans="1:6">
      <c r="A51" s="19" t="s">
        <v>60</v>
      </c>
      <c r="B51" s="21" t="s">
        <v>61</v>
      </c>
      <c r="C51" s="22"/>
      <c r="D51" s="20" t="s">
        <v>24</v>
      </c>
    </row>
    <row r="52" spans="1:6">
      <c r="A52" s="107" t="s">
        <v>3</v>
      </c>
      <c r="B52" s="6" t="s">
        <v>62</v>
      </c>
      <c r="C52" s="54"/>
      <c r="D52" s="18">
        <f>+'Calculo 5x2 12h Arm'!C121</f>
        <v>0</v>
      </c>
    </row>
    <row r="53" spans="1:6" s="60" customFormat="1">
      <c r="A53" s="75" t="s">
        <v>177</v>
      </c>
      <c r="B53" s="34" t="s">
        <v>178</v>
      </c>
      <c r="C53" s="29">
        <f>+$C$138+$C$139</f>
        <v>3.6499999999999998E-2</v>
      </c>
      <c r="D53" s="77">
        <f>+(C53*D52)*-1</f>
        <v>0</v>
      </c>
      <c r="F53" s="76"/>
    </row>
    <row r="54" spans="1:6">
      <c r="A54" s="107" t="s">
        <v>4</v>
      </c>
      <c r="B54" s="6" t="s">
        <v>63</v>
      </c>
      <c r="C54" s="54"/>
      <c r="D54" s="18">
        <f>+'Calculo 5x2 12h Arm'!C130</f>
        <v>0</v>
      </c>
      <c r="F54" s="61"/>
    </row>
    <row r="55" spans="1:6" s="60" customFormat="1">
      <c r="A55" s="75" t="s">
        <v>41</v>
      </c>
      <c r="B55" s="34" t="s">
        <v>178</v>
      </c>
      <c r="C55" s="29">
        <f>+$C$138+$C$139</f>
        <v>3.6499999999999998E-2</v>
      </c>
      <c r="D55" s="77">
        <f>+(C55*D54)*-1</f>
        <v>0</v>
      </c>
      <c r="F55" s="78"/>
    </row>
    <row r="56" spans="1:6">
      <c r="A56" s="6" t="s">
        <v>5</v>
      </c>
      <c r="B56" s="6" t="s">
        <v>66</v>
      </c>
      <c r="C56" s="54"/>
      <c r="D56" s="18"/>
      <c r="F56" s="61"/>
    </row>
    <row r="57" spans="1:6">
      <c r="A57" s="75" t="s">
        <v>161</v>
      </c>
      <c r="B57" s="34" t="s">
        <v>178</v>
      </c>
      <c r="C57" s="29">
        <f>+$C$138+$C$139</f>
        <v>3.6499999999999998E-2</v>
      </c>
      <c r="D57" s="77">
        <f>+(C57*D56)*-1</f>
        <v>0</v>
      </c>
      <c r="F57" s="61"/>
    </row>
    <row r="58" spans="1:6">
      <c r="A58" s="116" t="s">
        <v>6</v>
      </c>
      <c r="B58" s="116" t="s">
        <v>389</v>
      </c>
      <c r="C58" s="54"/>
      <c r="D58" s="301"/>
      <c r="F58" s="61"/>
    </row>
    <row r="59" spans="1:6">
      <c r="A59" s="75" t="s">
        <v>179</v>
      </c>
      <c r="B59" s="34" t="s">
        <v>178</v>
      </c>
      <c r="C59" s="29">
        <f>+$C$138+$C$139</f>
        <v>3.6499999999999998E-2</v>
      </c>
      <c r="D59" s="77">
        <f>+(C59*D58)*-1</f>
        <v>0</v>
      </c>
      <c r="F59" s="61"/>
    </row>
    <row r="60" spans="1:6">
      <c r="A60" s="116" t="s">
        <v>25</v>
      </c>
      <c r="B60" s="116" t="s">
        <v>396</v>
      </c>
      <c r="C60" s="54"/>
      <c r="D60" s="302"/>
      <c r="F60" s="130"/>
    </row>
    <row r="61" spans="1:6">
      <c r="A61" s="75" t="s">
        <v>180</v>
      </c>
      <c r="B61" s="34" t="s">
        <v>178</v>
      </c>
      <c r="C61" s="29">
        <f>+$C$138+$C$139</f>
        <v>3.6499999999999998E-2</v>
      </c>
      <c r="D61" s="77">
        <f>+(C61*D60)*-1</f>
        <v>0</v>
      </c>
    </row>
    <row r="62" spans="1:6">
      <c r="A62" s="116" t="s">
        <v>26</v>
      </c>
      <c r="B62" s="416" t="s">
        <v>293</v>
      </c>
      <c r="C62" s="416"/>
      <c r="D62" s="301"/>
    </row>
    <row r="63" spans="1:6">
      <c r="A63" s="75" t="s">
        <v>81</v>
      </c>
      <c r="B63" s="34" t="s">
        <v>178</v>
      </c>
      <c r="C63" s="29">
        <f>+$C$138+$C$139</f>
        <v>3.6499999999999998E-2</v>
      </c>
      <c r="D63" s="77">
        <f>+(C63*D62)*-1</f>
        <v>0</v>
      </c>
    </row>
    <row r="64" spans="1:6">
      <c r="A64" s="373" t="s">
        <v>29</v>
      </c>
      <c r="B64" s="390"/>
      <c r="C64" s="16"/>
      <c r="D64" s="110">
        <f>SUM(D52:D63)</f>
        <v>0</v>
      </c>
    </row>
    <row r="66" spans="1:4">
      <c r="A66" s="409" t="s">
        <v>67</v>
      </c>
      <c r="B66" s="409"/>
      <c r="C66" s="409"/>
      <c r="D66" s="409"/>
    </row>
    <row r="67" spans="1:4">
      <c r="A67" s="24">
        <v>2</v>
      </c>
      <c r="B67" s="409" t="s">
        <v>68</v>
      </c>
      <c r="C67" s="409"/>
      <c r="D67" s="177" t="s">
        <v>24</v>
      </c>
    </row>
    <row r="68" spans="1:4">
      <c r="A68" s="25" t="s">
        <v>39</v>
      </c>
      <c r="B68" s="421" t="s">
        <v>40</v>
      </c>
      <c r="C68" s="421"/>
      <c r="D68" s="18">
        <f>+D36</f>
        <v>0</v>
      </c>
    </row>
    <row r="69" spans="1:4">
      <c r="A69" s="25" t="s">
        <v>48</v>
      </c>
      <c r="B69" s="421" t="s">
        <v>49</v>
      </c>
      <c r="C69" s="421"/>
      <c r="D69" s="18">
        <f>+D48</f>
        <v>0</v>
      </c>
    </row>
    <row r="70" spans="1:4">
      <c r="A70" s="25" t="s">
        <v>60</v>
      </c>
      <c r="B70" s="421" t="s">
        <v>61</v>
      </c>
      <c r="C70" s="421"/>
      <c r="D70" s="68">
        <f>+D64</f>
        <v>0</v>
      </c>
    </row>
    <row r="71" spans="1:4">
      <c r="A71" s="409" t="s">
        <v>29</v>
      </c>
      <c r="B71" s="409"/>
      <c r="C71" s="409"/>
      <c r="D71" s="26">
        <f>SUM(D68:D70)</f>
        <v>0</v>
      </c>
    </row>
    <row r="73" spans="1:4">
      <c r="A73" s="409" t="s">
        <v>69</v>
      </c>
      <c r="B73" s="409"/>
      <c r="C73" s="409"/>
      <c r="D73" s="409"/>
    </row>
    <row r="75" spans="1:4">
      <c r="A75" s="13">
        <v>3</v>
      </c>
      <c r="B75" s="14" t="s">
        <v>70</v>
      </c>
      <c r="C75" s="171" t="s">
        <v>50</v>
      </c>
      <c r="D75" s="171" t="s">
        <v>24</v>
      </c>
    </row>
    <row r="76" spans="1:4">
      <c r="A76" s="172" t="s">
        <v>3</v>
      </c>
      <c r="B76" s="34" t="s">
        <v>72</v>
      </c>
      <c r="C76" s="29" t="e">
        <f>+D76/$D$26</f>
        <v>#DIV/0!</v>
      </c>
      <c r="D76" s="118">
        <f>+'Calculo 5x2 12h Arm'!C136</f>
        <v>0</v>
      </c>
    </row>
    <row r="77" spans="1:4">
      <c r="A77" s="172" t="s">
        <v>4</v>
      </c>
      <c r="B77" s="6" t="s">
        <v>73</v>
      </c>
      <c r="C77" s="52"/>
      <c r="D77" s="8">
        <f>ROUND(+D76*$C$47,2)</f>
        <v>0</v>
      </c>
    </row>
    <row r="78" spans="1:4" ht="25.5">
      <c r="A78" s="172" t="s">
        <v>5</v>
      </c>
      <c r="B78" s="30" t="s">
        <v>75</v>
      </c>
      <c r="C78" s="17" t="e">
        <f>+D78/$D$26</f>
        <v>#DIV/0!</v>
      </c>
      <c r="D78" s="8">
        <f>+'Calculo 5x2 12h Arm'!C150</f>
        <v>0</v>
      </c>
    </row>
    <row r="79" spans="1:4">
      <c r="A79" s="108" t="s">
        <v>6</v>
      </c>
      <c r="B79" s="6" t="s">
        <v>71</v>
      </c>
      <c r="C79" s="17" t="e">
        <f>+D79/$D$26</f>
        <v>#DIV/0!</v>
      </c>
      <c r="D79" s="8">
        <f>+'Calculo 5x2 12h Arm'!C158</f>
        <v>0</v>
      </c>
    </row>
    <row r="80" spans="1:4" ht="25.5">
      <c r="A80" s="108" t="s">
        <v>25</v>
      </c>
      <c r="B80" s="30" t="s">
        <v>74</v>
      </c>
      <c r="C80" s="52"/>
      <c r="D80" s="8">
        <f>+D79*C48</f>
        <v>0</v>
      </c>
    </row>
    <row r="81" spans="1:4" ht="25.5">
      <c r="A81" s="108" t="s">
        <v>26</v>
      </c>
      <c r="B81" s="30" t="s">
        <v>76</v>
      </c>
      <c r="C81" s="17" t="e">
        <f>+D81/$D$26</f>
        <v>#DIV/0!</v>
      </c>
      <c r="D81" s="18">
        <f>+'Calculo 5x2 12h Arm'!C172</f>
        <v>0</v>
      </c>
    </row>
    <row r="82" spans="1:4">
      <c r="A82" s="373" t="s">
        <v>29</v>
      </c>
      <c r="B82" s="374"/>
      <c r="C82" s="390"/>
      <c r="D82" s="32">
        <f>SUM(D76:D81)</f>
        <v>0</v>
      </c>
    </row>
    <row r="84" spans="1:4">
      <c r="A84" s="409" t="s">
        <v>84</v>
      </c>
      <c r="B84" s="409"/>
      <c r="C84" s="409"/>
      <c r="D84" s="409"/>
    </row>
    <row r="86" spans="1:4">
      <c r="A86" s="404" t="s">
        <v>87</v>
      </c>
      <c r="B86" s="404"/>
      <c r="C86" s="404"/>
      <c r="D86" s="404"/>
    </row>
    <row r="87" spans="1:4">
      <c r="A87" s="13" t="s">
        <v>85</v>
      </c>
      <c r="B87" s="373" t="s">
        <v>86</v>
      </c>
      <c r="C87" s="390"/>
      <c r="D87" s="171" t="s">
        <v>24</v>
      </c>
    </row>
    <row r="88" spans="1:4">
      <c r="A88" s="6" t="s">
        <v>3</v>
      </c>
      <c r="B88" s="377" t="s">
        <v>88</v>
      </c>
      <c r="C88" s="378"/>
      <c r="D88" s="8"/>
    </row>
    <row r="89" spans="1:4">
      <c r="A89" s="34" t="s">
        <v>4</v>
      </c>
      <c r="B89" s="396" t="s">
        <v>86</v>
      </c>
      <c r="C89" s="397"/>
      <c r="D89" s="120">
        <f>+'Calculo 5x2 12h Arm'!C185</f>
        <v>0</v>
      </c>
    </row>
    <row r="90" spans="1:4" s="60" customFormat="1">
      <c r="A90" s="34" t="s">
        <v>5</v>
      </c>
      <c r="B90" s="396" t="s">
        <v>89</v>
      </c>
      <c r="C90" s="397"/>
      <c r="D90" s="120">
        <f>+'Calculo 5x2 12h Arm'!C194</f>
        <v>0</v>
      </c>
    </row>
    <row r="91" spans="1:4" s="60" customFormat="1">
      <c r="A91" s="34" t="s">
        <v>6</v>
      </c>
      <c r="B91" s="396" t="s">
        <v>90</v>
      </c>
      <c r="C91" s="397"/>
      <c r="D91" s="120">
        <f>+'Calculo 5x2 12h Arm'!C202</f>
        <v>0</v>
      </c>
    </row>
    <row r="92" spans="1:4" s="60" customFormat="1" ht="13.5">
      <c r="A92" s="34" t="s">
        <v>25</v>
      </c>
      <c r="B92" s="396" t="s">
        <v>287</v>
      </c>
      <c r="C92" s="397"/>
      <c r="D92" s="120"/>
    </row>
    <row r="93" spans="1:4" s="60" customFormat="1">
      <c r="A93" s="34" t="s">
        <v>26</v>
      </c>
      <c r="B93" s="396" t="s">
        <v>93</v>
      </c>
      <c r="C93" s="397"/>
      <c r="D93" s="120">
        <f>+'Calculo 5x2 12h Arm'!C210</f>
        <v>0</v>
      </c>
    </row>
    <row r="94" spans="1:4">
      <c r="A94" s="6" t="s">
        <v>27</v>
      </c>
      <c r="B94" s="377" t="s">
        <v>36</v>
      </c>
      <c r="C94" s="378"/>
      <c r="D94" s="8"/>
    </row>
    <row r="95" spans="1:4">
      <c r="A95" s="6" t="s">
        <v>28</v>
      </c>
      <c r="B95" s="377" t="s">
        <v>94</v>
      </c>
      <c r="C95" s="378"/>
      <c r="D95" s="8">
        <f>ROUND((D89+D90+D91+D88+D92+D93+D94)*C48,2)</f>
        <v>0</v>
      </c>
    </row>
    <row r="96" spans="1:4">
      <c r="A96" s="380" t="s">
        <v>29</v>
      </c>
      <c r="B96" s="380"/>
      <c r="C96" s="380"/>
      <c r="D96" s="9">
        <f>SUM(D88:D95)</f>
        <v>0</v>
      </c>
    </row>
    <row r="97" spans="1:4">
      <c r="D97" s="15"/>
    </row>
    <row r="98" spans="1:4">
      <c r="A98" s="13" t="s">
        <v>99</v>
      </c>
      <c r="B98" s="373" t="s">
        <v>92</v>
      </c>
      <c r="C98" s="390"/>
      <c r="D98" s="171" t="s">
        <v>24</v>
      </c>
    </row>
    <row r="99" spans="1:4" s="60" customFormat="1">
      <c r="A99" s="34" t="s">
        <v>3</v>
      </c>
      <c r="B99" s="407" t="s">
        <v>96</v>
      </c>
      <c r="C99" s="408"/>
      <c r="D99" s="120">
        <f>+'Calculo 5x2 12h Arm'!C234</f>
        <v>0</v>
      </c>
    </row>
    <row r="100" spans="1:4" s="60" customFormat="1" ht="31.5" customHeight="1">
      <c r="A100" s="34" t="s">
        <v>4</v>
      </c>
      <c r="B100" s="391" t="s">
        <v>98</v>
      </c>
      <c r="C100" s="392"/>
      <c r="D100" s="120">
        <f>ROUND(D99*C48,2)</f>
        <v>0</v>
      </c>
    </row>
    <row r="101" spans="1:4" s="60" customFormat="1" ht="27" customHeight="1">
      <c r="A101" s="34" t="s">
        <v>5</v>
      </c>
      <c r="B101" s="391" t="s">
        <v>97</v>
      </c>
      <c r="C101" s="392"/>
      <c r="D101" s="120">
        <f>+'Calculo 5x2 12h Arm'!C244</f>
        <v>0</v>
      </c>
    </row>
    <row r="102" spans="1:4">
      <c r="A102" s="6" t="s">
        <v>6</v>
      </c>
      <c r="B102" s="377" t="s">
        <v>36</v>
      </c>
      <c r="C102" s="378"/>
      <c r="D102" s="8"/>
    </row>
    <row r="103" spans="1:4">
      <c r="A103" s="380" t="s">
        <v>29</v>
      </c>
      <c r="B103" s="380"/>
      <c r="C103" s="380"/>
      <c r="D103" s="9">
        <f>SUM(D99:D102)</f>
        <v>0</v>
      </c>
    </row>
    <row r="104" spans="1:4">
      <c r="D104" s="15"/>
    </row>
    <row r="105" spans="1:4">
      <c r="A105" s="13" t="s">
        <v>91</v>
      </c>
      <c r="B105" s="380" t="s">
        <v>100</v>
      </c>
      <c r="C105" s="380"/>
      <c r="D105" s="171" t="s">
        <v>24</v>
      </c>
    </row>
    <row r="106" spans="1:4" s="50" customFormat="1" ht="30.75" customHeight="1">
      <c r="A106" s="108" t="s">
        <v>3</v>
      </c>
      <c r="B106" s="393" t="s">
        <v>288</v>
      </c>
      <c r="C106" s="393"/>
      <c r="D106" s="49"/>
    </row>
    <row r="107" spans="1:4">
      <c r="A107" s="380" t="s">
        <v>29</v>
      </c>
      <c r="B107" s="380"/>
      <c r="C107" s="380"/>
      <c r="D107" s="9">
        <f>SUM(D106:D106)</f>
        <v>0</v>
      </c>
    </row>
    <row r="109" spans="1:4">
      <c r="A109" s="174" t="s">
        <v>109</v>
      </c>
      <c r="B109" s="174"/>
      <c r="C109" s="174"/>
      <c r="D109" s="174"/>
    </row>
    <row r="110" spans="1:4">
      <c r="A110" s="6" t="s">
        <v>85</v>
      </c>
      <c r="B110" s="377" t="s">
        <v>86</v>
      </c>
      <c r="C110" s="378"/>
      <c r="D110" s="18">
        <f>+D96</f>
        <v>0</v>
      </c>
    </row>
    <row r="111" spans="1:4">
      <c r="A111" s="6" t="s">
        <v>99</v>
      </c>
      <c r="B111" s="377" t="s">
        <v>92</v>
      </c>
      <c r="C111" s="378"/>
      <c r="D111" s="18">
        <f>+D103</f>
        <v>0</v>
      </c>
    </row>
    <row r="112" spans="1:4">
      <c r="A112" s="74"/>
      <c r="B112" s="405" t="s">
        <v>110</v>
      </c>
      <c r="C112" s="406"/>
      <c r="D112" s="73">
        <f>+D111+D110</f>
        <v>0</v>
      </c>
    </row>
    <row r="113" spans="1:4">
      <c r="A113" s="6" t="s">
        <v>91</v>
      </c>
      <c r="B113" s="377" t="s">
        <v>100</v>
      </c>
      <c r="C113" s="378"/>
      <c r="D113" s="18">
        <f>+D107</f>
        <v>0</v>
      </c>
    </row>
    <row r="114" spans="1:4">
      <c r="A114" s="379" t="s">
        <v>29</v>
      </c>
      <c r="B114" s="379"/>
      <c r="C114" s="379"/>
      <c r="D114" s="71">
        <f>+D113+D112</f>
        <v>0</v>
      </c>
    </row>
    <row r="116" spans="1:4">
      <c r="A116" s="409" t="s">
        <v>151</v>
      </c>
      <c r="B116" s="409"/>
      <c r="C116" s="409"/>
      <c r="D116" s="409"/>
    </row>
    <row r="118" spans="1:4">
      <c r="A118" s="13">
        <v>5</v>
      </c>
      <c r="B118" s="373" t="s">
        <v>152</v>
      </c>
      <c r="C118" s="390"/>
      <c r="D118" s="171" t="s">
        <v>24</v>
      </c>
    </row>
    <row r="119" spans="1:4">
      <c r="A119" s="6" t="s">
        <v>3</v>
      </c>
      <c r="B119" s="323" t="s">
        <v>153</v>
      </c>
      <c r="C119" s="323"/>
      <c r="D119" s="8">
        <f>+Uniforme!G131</f>
        <v>0</v>
      </c>
    </row>
    <row r="120" spans="1:4">
      <c r="A120" s="6" t="s">
        <v>177</v>
      </c>
      <c r="B120" s="34" t="s">
        <v>178</v>
      </c>
      <c r="C120" s="29">
        <f>+$C$138+$C$139</f>
        <v>3.6499999999999998E-2</v>
      </c>
      <c r="D120" s="77">
        <f>+(C120*D119)*-1</f>
        <v>0</v>
      </c>
    </row>
    <row r="121" spans="1:4">
      <c r="A121" s="6" t="s">
        <v>4</v>
      </c>
      <c r="B121" s="323" t="s">
        <v>154</v>
      </c>
      <c r="C121" s="323"/>
      <c r="D121" s="8"/>
    </row>
    <row r="122" spans="1:4">
      <c r="A122" s="6" t="s">
        <v>41</v>
      </c>
      <c r="B122" s="34" t="s">
        <v>178</v>
      </c>
      <c r="C122" s="29">
        <f>+$C$138+$C$139</f>
        <v>3.6499999999999998E-2</v>
      </c>
      <c r="D122" s="77">
        <f>+(C122*D121)*-1</f>
        <v>0</v>
      </c>
    </row>
    <row r="123" spans="1:4">
      <c r="A123" s="6" t="s">
        <v>5</v>
      </c>
      <c r="B123" s="323" t="s">
        <v>155</v>
      </c>
      <c r="C123" s="323"/>
      <c r="D123" s="8">
        <f>+Uniforme!F146</f>
        <v>0</v>
      </c>
    </row>
    <row r="124" spans="1:4">
      <c r="A124" s="6" t="s">
        <v>161</v>
      </c>
      <c r="B124" s="34" t="s">
        <v>178</v>
      </c>
      <c r="C124" s="29">
        <f>+$C$138+$C$139</f>
        <v>3.6499999999999998E-2</v>
      </c>
      <c r="D124" s="77">
        <f>+(C124*D123)*-1</f>
        <v>0</v>
      </c>
    </row>
    <row r="125" spans="1:4">
      <c r="A125" s="6" t="s">
        <v>6</v>
      </c>
      <c r="B125" s="323" t="s">
        <v>36</v>
      </c>
      <c r="C125" s="323"/>
      <c r="D125" s="8"/>
    </row>
    <row r="126" spans="1:4">
      <c r="A126" s="6" t="s">
        <v>179</v>
      </c>
      <c r="B126" s="34" t="s">
        <v>178</v>
      </c>
      <c r="C126" s="29">
        <f>+$C$138+$C$139</f>
        <v>3.6499999999999998E-2</v>
      </c>
      <c r="D126" s="77">
        <f>+(C126*D125)*-1</f>
        <v>0</v>
      </c>
    </row>
    <row r="127" spans="1:4">
      <c r="A127" s="380" t="s">
        <v>29</v>
      </c>
      <c r="B127" s="380"/>
      <c r="C127" s="380"/>
      <c r="D127" s="9">
        <f>SUM(D119:D125)</f>
        <v>0</v>
      </c>
    </row>
    <row r="129" spans="1:4">
      <c r="A129" s="409" t="s">
        <v>156</v>
      </c>
      <c r="B129" s="409"/>
      <c r="C129" s="409"/>
      <c r="D129" s="409"/>
    </row>
    <row r="131" spans="1:4">
      <c r="A131" s="13">
        <v>6</v>
      </c>
      <c r="B131" s="14" t="s">
        <v>157</v>
      </c>
      <c r="C131" s="176" t="s">
        <v>50</v>
      </c>
      <c r="D131" s="171" t="s">
        <v>24</v>
      </c>
    </row>
    <row r="132" spans="1:4">
      <c r="A132" s="116" t="s">
        <v>3</v>
      </c>
      <c r="B132" s="116" t="s">
        <v>158</v>
      </c>
      <c r="C132" s="114">
        <v>0.03</v>
      </c>
      <c r="D132" s="301">
        <f>($D$127+$D$114+$D$82+$D$71+$D$26)*C132</f>
        <v>0</v>
      </c>
    </row>
    <row r="133" spans="1:4">
      <c r="A133" s="116" t="s">
        <v>4</v>
      </c>
      <c r="B133" s="116" t="s">
        <v>159</v>
      </c>
      <c r="C133" s="114">
        <v>0.03</v>
      </c>
      <c r="D133" s="301">
        <f>($D$127+$D$114+$D$82+$D$71+$D$26+D132)*C133</f>
        <v>0</v>
      </c>
    </row>
    <row r="134" spans="1:4" s="79" customFormat="1">
      <c r="A134" s="381" t="s">
        <v>181</v>
      </c>
      <c r="B134" s="382"/>
      <c r="C134" s="383"/>
      <c r="D134" s="81">
        <f>++D133+D132+D127+D114+D82+D71+D26</f>
        <v>0</v>
      </c>
    </row>
    <row r="135" spans="1:4" s="79" customFormat="1">
      <c r="A135" s="384" t="s">
        <v>182</v>
      </c>
      <c r="B135" s="385"/>
      <c r="C135" s="386"/>
      <c r="D135" s="81">
        <f>ROUND(D134/(1-(C138+C139+C141+C143+C144)),2)</f>
        <v>0</v>
      </c>
    </row>
    <row r="136" spans="1:4">
      <c r="A136" s="6" t="s">
        <v>5</v>
      </c>
      <c r="B136" s="6" t="s">
        <v>160</v>
      </c>
      <c r="C136" s="17"/>
      <c r="D136" s="6"/>
    </row>
    <row r="137" spans="1:4">
      <c r="A137" s="6" t="s">
        <v>161</v>
      </c>
      <c r="B137" s="6" t="s">
        <v>162</v>
      </c>
      <c r="C137" s="17"/>
      <c r="D137" s="6"/>
    </row>
    <row r="138" spans="1:4">
      <c r="A138" s="116" t="s">
        <v>163</v>
      </c>
      <c r="B138" s="116" t="s">
        <v>165</v>
      </c>
      <c r="C138" s="114">
        <v>6.4999999999999997E-3</v>
      </c>
      <c r="D138" s="301">
        <f>ROUND(C138*$D$135,2)</f>
        <v>0</v>
      </c>
    </row>
    <row r="139" spans="1:4">
      <c r="A139" s="116" t="s">
        <v>164</v>
      </c>
      <c r="B139" s="116" t="s">
        <v>166</v>
      </c>
      <c r="C139" s="114">
        <v>0.03</v>
      </c>
      <c r="D139" s="301">
        <f>ROUND(C139*$D$135,2)</f>
        <v>0</v>
      </c>
    </row>
    <row r="140" spans="1:4">
      <c r="A140" s="6" t="s">
        <v>167</v>
      </c>
      <c r="B140" s="6" t="s">
        <v>168</v>
      </c>
      <c r="C140" s="17"/>
      <c r="D140" s="18"/>
    </row>
    <row r="141" spans="1:4">
      <c r="A141" s="6" t="s">
        <v>170</v>
      </c>
      <c r="B141" s="6" t="s">
        <v>169</v>
      </c>
      <c r="C141" s="17"/>
      <c r="D141" s="6"/>
    </row>
    <row r="142" spans="1:4">
      <c r="A142" s="6" t="s">
        <v>171</v>
      </c>
      <c r="B142" s="6" t="s">
        <v>172</v>
      </c>
      <c r="C142" s="17"/>
      <c r="D142" s="6"/>
    </row>
    <row r="143" spans="1:4">
      <c r="A143" s="116" t="s">
        <v>173</v>
      </c>
      <c r="B143" s="116" t="s">
        <v>174</v>
      </c>
      <c r="C143" s="114">
        <v>0.05</v>
      </c>
      <c r="D143" s="301">
        <f>ROUND(C143*$D$135,2)</f>
        <v>0</v>
      </c>
    </row>
    <row r="144" spans="1:4">
      <c r="A144" s="6" t="s">
        <v>175</v>
      </c>
      <c r="B144" s="6" t="s">
        <v>176</v>
      </c>
      <c r="C144" s="17"/>
      <c r="D144" s="6"/>
    </row>
    <row r="145" spans="1:4">
      <c r="A145" s="373" t="s">
        <v>29</v>
      </c>
      <c r="B145" s="374"/>
      <c r="C145" s="80">
        <f>+C144+C143+C141+C139+C138+C133+C132</f>
        <v>0.14650000000000002</v>
      </c>
      <c r="D145" s="9">
        <f>+D143+D141+D139+D138+D133+D132</f>
        <v>0</v>
      </c>
    </row>
    <row r="147" spans="1:4">
      <c r="A147" s="437" t="s">
        <v>183</v>
      </c>
      <c r="B147" s="437"/>
      <c r="C147" s="437"/>
      <c r="D147" s="437"/>
    </row>
    <row r="148" spans="1:4">
      <c r="A148" s="6" t="s">
        <v>3</v>
      </c>
      <c r="B148" s="375" t="s">
        <v>185</v>
      </c>
      <c r="C148" s="375"/>
      <c r="D148" s="8">
        <f>+D26</f>
        <v>0</v>
      </c>
    </row>
    <row r="149" spans="1:4">
      <c r="A149" s="6" t="s">
        <v>184</v>
      </c>
      <c r="B149" s="375" t="s">
        <v>186</v>
      </c>
      <c r="C149" s="375"/>
      <c r="D149" s="8">
        <f>+D71</f>
        <v>0</v>
      </c>
    </row>
    <row r="150" spans="1:4">
      <c r="A150" s="6" t="s">
        <v>5</v>
      </c>
      <c r="B150" s="375" t="s">
        <v>187</v>
      </c>
      <c r="C150" s="375"/>
      <c r="D150" s="8">
        <f>+D82</f>
        <v>0</v>
      </c>
    </row>
    <row r="151" spans="1:4">
      <c r="A151" s="6" t="s">
        <v>6</v>
      </c>
      <c r="B151" s="375" t="s">
        <v>188</v>
      </c>
      <c r="C151" s="375"/>
      <c r="D151" s="8">
        <f>+D114</f>
        <v>0</v>
      </c>
    </row>
    <row r="152" spans="1:4">
      <c r="A152" s="6" t="s">
        <v>25</v>
      </c>
      <c r="B152" s="375" t="s">
        <v>189</v>
      </c>
      <c r="C152" s="375"/>
      <c r="D152" s="8">
        <f>+D127</f>
        <v>0</v>
      </c>
    </row>
    <row r="153" spans="1:4">
      <c r="B153" s="417" t="s">
        <v>192</v>
      </c>
      <c r="C153" s="417"/>
      <c r="D153" s="72">
        <f>SUM(D148:D152)</f>
        <v>0</v>
      </c>
    </row>
    <row r="154" spans="1:4">
      <c r="A154" s="6" t="s">
        <v>26</v>
      </c>
      <c r="B154" s="375" t="s">
        <v>190</v>
      </c>
      <c r="C154" s="375"/>
      <c r="D154" s="8">
        <f>+D145</f>
        <v>0</v>
      </c>
    </row>
    <row r="156" spans="1:4">
      <c r="A156" s="436" t="s">
        <v>191</v>
      </c>
      <c r="B156" s="436"/>
      <c r="C156" s="436"/>
      <c r="D156" s="82">
        <f>ROUND(+D154+D153,2)</f>
        <v>0</v>
      </c>
    </row>
    <row r="158" spans="1:4">
      <c r="A158" s="419" t="s">
        <v>77</v>
      </c>
      <c r="B158" s="419"/>
      <c r="C158" s="419"/>
      <c r="D158" s="419"/>
    </row>
    <row r="160" spans="1:4">
      <c r="A160" s="6" t="s">
        <v>3</v>
      </c>
      <c r="B160" s="6" t="s">
        <v>46</v>
      </c>
      <c r="C160" s="44" t="e">
        <f>+C32</f>
        <v>#DIV/0!</v>
      </c>
      <c r="D160" s="8">
        <f>+D32</f>
        <v>0</v>
      </c>
    </row>
    <row r="161" spans="1:5">
      <c r="A161" s="6" t="s">
        <v>4</v>
      </c>
      <c r="B161" s="6" t="s">
        <v>45</v>
      </c>
      <c r="C161" s="44" t="e">
        <f>+C34</f>
        <v>#DIV/0!</v>
      </c>
      <c r="D161" s="8">
        <f>+D34</f>
        <v>0</v>
      </c>
    </row>
    <row r="162" spans="1:5">
      <c r="A162" s="6" t="s">
        <v>5</v>
      </c>
      <c r="B162" s="6" t="s">
        <v>44</v>
      </c>
      <c r="C162" s="44" t="e">
        <f>+C35</f>
        <v>#DIV/0!</v>
      </c>
      <c r="D162" s="8">
        <f>+D35</f>
        <v>0</v>
      </c>
    </row>
    <row r="163" spans="1:5" ht="25.5">
      <c r="A163" s="6" t="s">
        <v>6</v>
      </c>
      <c r="B163" s="30" t="s">
        <v>75</v>
      </c>
      <c r="C163" s="17" t="e">
        <f>+C78</f>
        <v>#DIV/0!</v>
      </c>
      <c r="D163" s="8">
        <f>+D78</f>
        <v>0</v>
      </c>
    </row>
    <row r="164" spans="1:5" ht="25.5">
      <c r="A164" s="6" t="s">
        <v>25</v>
      </c>
      <c r="B164" s="30" t="s">
        <v>76</v>
      </c>
      <c r="C164" s="44" t="e">
        <f>+C81</f>
        <v>#DIV/0!</v>
      </c>
      <c r="D164" s="18">
        <f>+D81</f>
        <v>0</v>
      </c>
    </row>
    <row r="165" spans="1:5">
      <c r="A165" s="6" t="s">
        <v>81</v>
      </c>
      <c r="B165" s="34" t="s">
        <v>79</v>
      </c>
      <c r="C165" s="418" t="e">
        <f>+(D165+D166+D167)/D26</f>
        <v>#DIV/0!</v>
      </c>
      <c r="D165" s="8">
        <f>ROUND(D32*(SUM($C$40:$C$47)),2)</f>
        <v>0</v>
      </c>
    </row>
    <row r="166" spans="1:5">
      <c r="A166" s="6" t="s">
        <v>82</v>
      </c>
      <c r="B166" s="34" t="s">
        <v>78</v>
      </c>
      <c r="C166" s="418"/>
      <c r="D166" s="8">
        <f>ROUND(D34*(SUM($C$40:$C$47)),2)</f>
        <v>0</v>
      </c>
    </row>
    <row r="167" spans="1:5">
      <c r="A167" s="6" t="s">
        <v>83</v>
      </c>
      <c r="B167" s="34" t="s">
        <v>80</v>
      </c>
      <c r="C167" s="418"/>
      <c r="D167" s="8">
        <f>ROUND(D35*(SUM($C$40:$C$47)),2)</f>
        <v>0</v>
      </c>
    </row>
    <row r="168" spans="1:5">
      <c r="A168" s="388" t="s">
        <v>29</v>
      </c>
      <c r="B168" s="389"/>
      <c r="C168" s="420"/>
      <c r="D168" s="45">
        <f>SUM(D160:D167)</f>
        <v>0</v>
      </c>
    </row>
    <row r="169" spans="1:5">
      <c r="B169" s="96"/>
      <c r="C169" s="96"/>
      <c r="D169" s="96"/>
    </row>
    <row r="170" spans="1:5" s="67" customFormat="1" ht="47.25" customHeight="1">
      <c r="A170" s="414" t="s">
        <v>289</v>
      </c>
      <c r="B170" s="414"/>
      <c r="C170" s="414"/>
      <c r="D170" s="414"/>
      <c r="E170" s="128"/>
    </row>
    <row r="171" spans="1:5">
      <c r="A171" s="97"/>
      <c r="B171" s="97"/>
      <c r="C171" s="97"/>
      <c r="D171" s="97"/>
      <c r="E171" s="97"/>
    </row>
    <row r="172" spans="1:5" ht="48" customHeight="1">
      <c r="A172" s="415" t="s">
        <v>290</v>
      </c>
      <c r="B172" s="415"/>
      <c r="C172" s="415"/>
      <c r="D172" s="415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  <row r="184" spans="1:5">
      <c r="A184" s="97"/>
      <c r="B184" s="97"/>
      <c r="C184" s="97"/>
      <c r="D184" s="97"/>
      <c r="E184" s="97"/>
    </row>
    <row r="185" spans="1:5">
      <c r="A185" s="97"/>
      <c r="B185" s="97"/>
      <c r="C185" s="97"/>
      <c r="D185" s="97"/>
      <c r="E185" s="97"/>
    </row>
    <row r="186" spans="1:5">
      <c r="A186" s="97"/>
      <c r="B186" s="97"/>
      <c r="C186" s="97"/>
      <c r="D186" s="97"/>
      <c r="E186" s="97"/>
    </row>
  </sheetData>
  <mergeCells count="84">
    <mergeCell ref="B19:C19"/>
    <mergeCell ref="A1:D1"/>
    <mergeCell ref="A5:D5"/>
    <mergeCell ref="C6:D6"/>
    <mergeCell ref="C7:D7"/>
    <mergeCell ref="C8:D8"/>
    <mergeCell ref="C9:D9"/>
    <mergeCell ref="C10:D10"/>
    <mergeCell ref="A12:D12"/>
    <mergeCell ref="B14:C14"/>
    <mergeCell ref="B17:C17"/>
    <mergeCell ref="B18:C18"/>
    <mergeCell ref="A64:B64"/>
    <mergeCell ref="B20:C20"/>
    <mergeCell ref="B21:C21"/>
    <mergeCell ref="B23:C23"/>
    <mergeCell ref="B25:C25"/>
    <mergeCell ref="A26:C26"/>
    <mergeCell ref="A28:D28"/>
    <mergeCell ref="B24:C24"/>
    <mergeCell ref="A30:D30"/>
    <mergeCell ref="A36:C36"/>
    <mergeCell ref="A38:D38"/>
    <mergeCell ref="A50:D50"/>
    <mergeCell ref="B62:C62"/>
    <mergeCell ref="B88:C88"/>
    <mergeCell ref="A66:D66"/>
    <mergeCell ref="B67:C67"/>
    <mergeCell ref="B68:C68"/>
    <mergeCell ref="B69:C69"/>
    <mergeCell ref="B70:C70"/>
    <mergeCell ref="A71:C71"/>
    <mergeCell ref="A73:D73"/>
    <mergeCell ref="A82:C82"/>
    <mergeCell ref="A84:D84"/>
    <mergeCell ref="A86:D86"/>
    <mergeCell ref="B87:C87"/>
    <mergeCell ref="B101:C101"/>
    <mergeCell ref="B89:C89"/>
    <mergeCell ref="B90:C90"/>
    <mergeCell ref="B91:C91"/>
    <mergeCell ref="B92:C92"/>
    <mergeCell ref="B93:C93"/>
    <mergeCell ref="B94:C94"/>
    <mergeCell ref="B95:C95"/>
    <mergeCell ref="A96:C96"/>
    <mergeCell ref="B98:C98"/>
    <mergeCell ref="B99:C99"/>
    <mergeCell ref="B100:C100"/>
    <mergeCell ref="B118:C118"/>
    <mergeCell ref="B102:C102"/>
    <mergeCell ref="A103:C103"/>
    <mergeCell ref="B105:C105"/>
    <mergeCell ref="B106:C106"/>
    <mergeCell ref="A107:C107"/>
    <mergeCell ref="B110:C110"/>
    <mergeCell ref="B111:C111"/>
    <mergeCell ref="B112:C112"/>
    <mergeCell ref="B113:C113"/>
    <mergeCell ref="A114:C114"/>
    <mergeCell ref="A116:D116"/>
    <mergeCell ref="B149:C149"/>
    <mergeCell ref="B119:C119"/>
    <mergeCell ref="B121:C121"/>
    <mergeCell ref="B123:C123"/>
    <mergeCell ref="B125:C125"/>
    <mergeCell ref="A127:C127"/>
    <mergeCell ref="A129:D129"/>
    <mergeCell ref="A134:C134"/>
    <mergeCell ref="A135:C135"/>
    <mergeCell ref="A145:B145"/>
    <mergeCell ref="A147:D147"/>
    <mergeCell ref="B148:C148"/>
    <mergeCell ref="B150:C150"/>
    <mergeCell ref="B151:C151"/>
    <mergeCell ref="B152:C152"/>
    <mergeCell ref="B153:C153"/>
    <mergeCell ref="B154:C154"/>
    <mergeCell ref="A172:D172"/>
    <mergeCell ref="A156:C156"/>
    <mergeCell ref="A158:D158"/>
    <mergeCell ref="C165:C167"/>
    <mergeCell ref="A168:C168"/>
    <mergeCell ref="A170:D170"/>
  </mergeCells>
  <pageMargins left="1.06" right="0.08" top="0.43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D244"/>
  <sheetViews>
    <sheetView workbookViewId="0">
      <selection activeCell="A37" sqref="A37"/>
    </sheetView>
  </sheetViews>
  <sheetFormatPr defaultRowHeight="12.75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16.5">
      <c r="A1" s="433" t="s">
        <v>360</v>
      </c>
      <c r="B1" s="433"/>
      <c r="C1" s="433"/>
    </row>
    <row r="3" spans="1:3">
      <c r="A3" s="6" t="s">
        <v>346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(365.25/12)/(7/5)</f>
        <v>21.741071428571431</v>
      </c>
    </row>
    <row r="6" spans="1:3">
      <c r="A6" s="34" t="s">
        <v>30</v>
      </c>
      <c r="B6" s="18">
        <f>+'Vigilante 5x2 12h Arm'!D14</f>
        <v>0</v>
      </c>
    </row>
    <row r="7" spans="1:3">
      <c r="A7" s="34" t="s">
        <v>241</v>
      </c>
      <c r="B7" s="18">
        <f>+'Vigilante 5x2 12h Arm'!D26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5x2 12h Arm'!D14</f>
        <v>0</v>
      </c>
    </row>
    <row r="11" spans="1:3">
      <c r="A11" s="6" t="s">
        <v>31</v>
      </c>
      <c r="B11" s="52"/>
      <c r="C11" s="90">
        <f>+'Vigilante 5x2 12h Arm'!D15</f>
        <v>0</v>
      </c>
    </row>
    <row r="12" spans="1:3">
      <c r="A12" s="6" t="s">
        <v>32</v>
      </c>
      <c r="B12" s="52"/>
      <c r="C12" s="90">
        <f>+'Vigilante 5x2 12h Arm'!D16</f>
        <v>0</v>
      </c>
    </row>
    <row r="13" spans="1:3">
      <c r="A13" s="6" t="s">
        <v>33</v>
      </c>
      <c r="B13" s="52"/>
      <c r="C13" s="90">
        <f>+'Vigilante 5x2 12h Arm'!D17</f>
        <v>0</v>
      </c>
    </row>
    <row r="14" spans="1:3">
      <c r="A14" s="6" t="s">
        <v>34</v>
      </c>
      <c r="B14" s="52"/>
      <c r="C14" s="90">
        <f>+'Vigilante 5x2 12h Arm'!D18</f>
        <v>0</v>
      </c>
    </row>
    <row r="15" spans="1:3">
      <c r="A15" t="s">
        <v>65</v>
      </c>
      <c r="B15" s="52"/>
      <c r="C15" s="90">
        <f>+'Vigilante 5x2 12h Arm'!D22</f>
        <v>0</v>
      </c>
    </row>
    <row r="16" spans="1:3">
      <c r="A16" s="6" t="s">
        <v>345</v>
      </c>
      <c r="B16" s="52"/>
      <c r="C16" s="90">
        <f>+'Vigilante 5x2 12h Arm'!D24</f>
        <v>0</v>
      </c>
    </row>
    <row r="17" spans="1:3">
      <c r="A17" s="35" t="s">
        <v>193</v>
      </c>
      <c r="B17" s="101"/>
      <c r="C17" s="102">
        <f>SUM(C10:C16)</f>
        <v>0</v>
      </c>
    </row>
    <row r="18" spans="1:3">
      <c r="A18" s="6" t="s">
        <v>102</v>
      </c>
      <c r="B18" s="57">
        <f>+B3</f>
        <v>220</v>
      </c>
      <c r="C18" s="54"/>
    </row>
    <row r="19" spans="1:3">
      <c r="A19" s="35" t="s">
        <v>103</v>
      </c>
      <c r="B19" s="101"/>
      <c r="C19" s="36">
        <f>+C17/B18</f>
        <v>0</v>
      </c>
    </row>
    <row r="20" spans="1:3">
      <c r="A20" s="6" t="s">
        <v>197</v>
      </c>
      <c r="B20" s="6">
        <v>12</v>
      </c>
      <c r="C20" s="54"/>
    </row>
    <row r="21" spans="1:3">
      <c r="A21" s="6" t="s">
        <v>198</v>
      </c>
      <c r="B21" s="6">
        <v>10.8</v>
      </c>
      <c r="C21" s="54"/>
    </row>
    <row r="22" spans="1:3">
      <c r="A22" s="6" t="s">
        <v>199</v>
      </c>
      <c r="B22" s="6">
        <f>+B21*B20</f>
        <v>129.60000000000002</v>
      </c>
      <c r="C22" s="8">
        <f>+B22*C19</f>
        <v>0</v>
      </c>
    </row>
    <row r="23" spans="1:3">
      <c r="A23" s="6" t="s">
        <v>200</v>
      </c>
      <c r="B23" s="17">
        <v>1</v>
      </c>
      <c r="C23" s="8">
        <f>+B23*C22</f>
        <v>0</v>
      </c>
    </row>
    <row r="24" spans="1:3">
      <c r="A24" s="6" t="s">
        <v>201</v>
      </c>
      <c r="B24" s="17">
        <v>1</v>
      </c>
      <c r="C24" s="8">
        <f>+B24*C23</f>
        <v>0</v>
      </c>
    </row>
    <row r="25" spans="1:3">
      <c r="A25" s="6" t="s">
        <v>202</v>
      </c>
      <c r="B25" s="6">
        <v>12</v>
      </c>
      <c r="C25" s="91"/>
    </row>
    <row r="26" spans="1:3">
      <c r="A26" s="431" t="s">
        <v>203</v>
      </c>
      <c r="B26" s="432"/>
      <c r="C26" s="45">
        <f>+C24/B25</f>
        <v>0</v>
      </c>
    </row>
    <row r="27" spans="1:3">
      <c r="C27" s="15"/>
    </row>
    <row r="28" spans="1:3">
      <c r="A28" s="434" t="s">
        <v>210</v>
      </c>
      <c r="B28" s="434"/>
      <c r="C28" s="434"/>
    </row>
    <row r="29" spans="1:3">
      <c r="A29" s="6" t="s">
        <v>103</v>
      </c>
      <c r="B29" s="52"/>
      <c r="C29" s="90">
        <f>+C19</f>
        <v>0</v>
      </c>
    </row>
    <row r="30" spans="1:3">
      <c r="A30" s="6" t="s">
        <v>199</v>
      </c>
      <c r="B30" s="6">
        <v>192</v>
      </c>
      <c r="C30" s="54"/>
    </row>
    <row r="31" spans="1:3">
      <c r="A31" s="6" t="s">
        <v>204</v>
      </c>
      <c r="B31" s="6">
        <f>+$B$4</f>
        <v>365.25</v>
      </c>
      <c r="C31" s="54"/>
    </row>
    <row r="32" spans="1:3">
      <c r="A32" s="6" t="s">
        <v>197</v>
      </c>
      <c r="B32" s="6">
        <v>12</v>
      </c>
      <c r="C32" s="54"/>
    </row>
    <row r="33" spans="1:3">
      <c r="A33" s="6" t="s">
        <v>200</v>
      </c>
      <c r="B33" s="17">
        <v>1</v>
      </c>
      <c r="C33" s="54"/>
    </row>
    <row r="34" spans="1:3">
      <c r="A34" s="6" t="s">
        <v>205</v>
      </c>
      <c r="B34" s="92">
        <f>ROUND(((B31/7)*6)-B32,2)</f>
        <v>301.07</v>
      </c>
      <c r="C34" s="54"/>
    </row>
    <row r="35" spans="1:3">
      <c r="A35" s="6" t="s">
        <v>206</v>
      </c>
      <c r="B35" s="34">
        <v>12</v>
      </c>
      <c r="C35" s="54"/>
    </row>
    <row r="36" spans="1:3" ht="25.5">
      <c r="A36" s="30" t="s">
        <v>207</v>
      </c>
      <c r="B36" s="6">
        <f>+((B30/B35)*B33)/B34</f>
        <v>5.3143787159132427E-2</v>
      </c>
      <c r="C36" s="54"/>
    </row>
    <row r="37" spans="1:3">
      <c r="A37" s="24" t="s">
        <v>208</v>
      </c>
      <c r="B37" s="24"/>
      <c r="C37" s="45">
        <f>+C29*(B31-B34)*B36</f>
        <v>0</v>
      </c>
    </row>
    <row r="38" spans="1:3">
      <c r="C38" s="15"/>
    </row>
    <row r="39" spans="1:3">
      <c r="A39" s="434" t="s">
        <v>344</v>
      </c>
      <c r="B39" s="434"/>
      <c r="C39" s="434"/>
    </row>
    <row r="40" spans="1:3">
      <c r="A40" s="6" t="s">
        <v>30</v>
      </c>
      <c r="B40" s="52"/>
      <c r="C40" s="90">
        <f>+B6</f>
        <v>0</v>
      </c>
    </row>
    <row r="41" spans="1:3">
      <c r="A41" s="6" t="s">
        <v>102</v>
      </c>
      <c r="B41" s="57">
        <f>+B3</f>
        <v>220</v>
      </c>
      <c r="C41" s="54"/>
    </row>
    <row r="42" spans="1:3">
      <c r="A42" s="35" t="s">
        <v>103</v>
      </c>
      <c r="B42" s="101"/>
      <c r="C42" s="36">
        <f>+C40/B41</f>
        <v>0</v>
      </c>
    </row>
    <row r="43" spans="1:3" s="60" customFormat="1">
      <c r="A43" s="6" t="s">
        <v>352</v>
      </c>
      <c r="B43" s="17">
        <v>0.5</v>
      </c>
      <c r="C43" s="182"/>
    </row>
    <row r="44" spans="1:3" s="60" customFormat="1">
      <c r="A44" s="35" t="s">
        <v>353</v>
      </c>
      <c r="B44" s="104"/>
      <c r="C44" s="182">
        <f>+C42*(1+B43)</f>
        <v>0</v>
      </c>
    </row>
    <row r="45" spans="1:3">
      <c r="A45" s="34" t="s">
        <v>347</v>
      </c>
      <c r="B45" s="6">
        <v>10.8</v>
      </c>
      <c r="C45" s="54"/>
    </row>
    <row r="46" spans="1:3">
      <c r="A46" s="6" t="s">
        <v>230</v>
      </c>
      <c r="B46" s="181">
        <f>+B5</f>
        <v>21.741071428571431</v>
      </c>
      <c r="C46" s="54"/>
    </row>
    <row r="47" spans="1:3">
      <c r="A47" s="34" t="s">
        <v>348</v>
      </c>
      <c r="B47" s="6">
        <v>192</v>
      </c>
      <c r="C47" s="54"/>
    </row>
    <row r="48" spans="1:3">
      <c r="A48" s="34" t="s">
        <v>349</v>
      </c>
      <c r="B48" s="6">
        <f>ROUND(+B46*B45,2)</f>
        <v>234.8</v>
      </c>
      <c r="C48" s="54"/>
    </row>
    <row r="49" spans="1:3">
      <c r="A49" s="34" t="s">
        <v>350</v>
      </c>
      <c r="B49" s="6">
        <f>+B48-B47</f>
        <v>42.800000000000011</v>
      </c>
      <c r="C49" s="54"/>
    </row>
    <row r="50" spans="1:3">
      <c r="A50" s="24" t="s">
        <v>351</v>
      </c>
      <c r="B50" s="24"/>
      <c r="C50" s="45">
        <f>+B49*C44</f>
        <v>0</v>
      </c>
    </row>
    <row r="51" spans="1:3">
      <c r="C51" s="15"/>
    </row>
    <row r="52" spans="1:3">
      <c r="A52" s="419" t="s">
        <v>107</v>
      </c>
      <c r="B52" s="419"/>
      <c r="C52" s="419"/>
    </row>
    <row r="53" spans="1:3">
      <c r="A53" s="55" t="s">
        <v>30</v>
      </c>
      <c r="B53" s="86"/>
      <c r="C53" s="56">
        <f>+'Vigilante 5x2 12h Arm'!D14</f>
        <v>0</v>
      </c>
    </row>
    <row r="54" spans="1:3">
      <c r="A54" s="55" t="s">
        <v>31</v>
      </c>
      <c r="B54" s="58"/>
      <c r="C54" s="56">
        <f>+'Vigilante 5x2 12h Arm'!D15</f>
        <v>0</v>
      </c>
    </row>
    <row r="55" spans="1:3">
      <c r="A55" s="55" t="s">
        <v>32</v>
      </c>
      <c r="B55" s="58"/>
      <c r="C55" s="56">
        <f>+'Vigilante 5x2 12h Arm'!D16</f>
        <v>0</v>
      </c>
    </row>
    <row r="56" spans="1:3">
      <c r="A56" s="55" t="s">
        <v>33</v>
      </c>
      <c r="B56" s="58"/>
      <c r="C56" s="56">
        <f>+'Vigilante 5x2 12h Arm'!D17</f>
        <v>0</v>
      </c>
    </row>
    <row r="57" spans="1:3">
      <c r="A57" s="55" t="s">
        <v>34</v>
      </c>
      <c r="B57" s="58"/>
      <c r="C57" s="56">
        <f>+'Vigilante 5x2 12h Arm'!D18</f>
        <v>0</v>
      </c>
    </row>
    <row r="58" spans="1:3">
      <c r="A58" s="55" t="s">
        <v>35</v>
      </c>
      <c r="B58" s="58"/>
      <c r="C58" s="56">
        <f>+'Vigilante 5x2 12h Arm'!D20</f>
        <v>0</v>
      </c>
    </row>
    <row r="59" spans="1:3">
      <c r="A59" s="55" t="s">
        <v>65</v>
      </c>
      <c r="B59" s="58"/>
      <c r="C59" s="56">
        <f>+'Vigilante 5x2 12h Arm'!D22</f>
        <v>0</v>
      </c>
    </row>
    <row r="60" spans="1:3">
      <c r="A60" s="35" t="s">
        <v>101</v>
      </c>
      <c r="B60" s="99"/>
      <c r="C60" s="100">
        <f>SUM(C53:C59)</f>
        <v>0</v>
      </c>
    </row>
    <row r="61" spans="1:3">
      <c r="A61" s="6" t="s">
        <v>102</v>
      </c>
      <c r="B61" s="57">
        <f>+B3</f>
        <v>220</v>
      </c>
      <c r="C61" s="58"/>
    </row>
    <row r="62" spans="1:3">
      <c r="A62" s="6" t="s">
        <v>103</v>
      </c>
      <c r="B62" s="58"/>
      <c r="C62" s="59">
        <f>ROUND(+C60/B61,2)</f>
        <v>0</v>
      </c>
    </row>
    <row r="63" spans="1:3">
      <c r="A63" s="6" t="s">
        <v>229</v>
      </c>
      <c r="B63" s="51">
        <f>(365.25/12)/(7/5)</f>
        <v>21.741071428571431</v>
      </c>
      <c r="C63" s="58"/>
    </row>
    <row r="64" spans="1:3">
      <c r="A64" s="6" t="s">
        <v>105</v>
      </c>
      <c r="B64" s="17">
        <v>0.5</v>
      </c>
      <c r="C64" s="6"/>
    </row>
    <row r="65" spans="1:3">
      <c r="A65" s="431" t="s">
        <v>106</v>
      </c>
      <c r="B65" s="432"/>
      <c r="C65" s="45">
        <f>ROUND((B63*C62)*(1+B64),2)</f>
        <v>0</v>
      </c>
    </row>
    <row r="67" spans="1:3">
      <c r="A67" s="419" t="s">
        <v>212</v>
      </c>
      <c r="B67" s="419"/>
      <c r="C67" s="419"/>
    </row>
    <row r="68" spans="1:3">
      <c r="A68" s="6" t="s">
        <v>204</v>
      </c>
      <c r="B68" s="6">
        <v>365.25</v>
      </c>
      <c r="C68" s="52"/>
    </row>
    <row r="69" spans="1:3">
      <c r="A69" s="6" t="s">
        <v>206</v>
      </c>
      <c r="B69" s="34">
        <v>12</v>
      </c>
      <c r="C69" s="52"/>
    </row>
    <row r="70" spans="1:3">
      <c r="A70" s="6" t="s">
        <v>213</v>
      </c>
      <c r="B70" s="17">
        <v>1</v>
      </c>
      <c r="C70" s="52"/>
    </row>
    <row r="71" spans="1:3">
      <c r="A71" s="103" t="s">
        <v>388</v>
      </c>
      <c r="B71" s="34">
        <v>7</v>
      </c>
      <c r="C71" s="52"/>
    </row>
    <row r="72" spans="1:3">
      <c r="A72" s="34" t="s">
        <v>214</v>
      </c>
      <c r="B72" s="52"/>
      <c r="C72" s="18">
        <f>+'Vigilante 5x2 12h Arm'!$D$14</f>
        <v>0</v>
      </c>
    </row>
    <row r="73" spans="1:3">
      <c r="A73" s="34" t="s">
        <v>31</v>
      </c>
      <c r="B73" s="52"/>
      <c r="C73" s="18">
        <f>+'Vigilante 5x2 12h Arm'!$D$15</f>
        <v>0</v>
      </c>
    </row>
    <row r="74" spans="1:3">
      <c r="A74" s="34" t="s">
        <v>32</v>
      </c>
      <c r="B74" s="52"/>
      <c r="C74" s="18">
        <f>+'Vigilante 5x2 12h Arm'!$D$16</f>
        <v>0</v>
      </c>
    </row>
    <row r="75" spans="1:3">
      <c r="A75" s="104" t="s">
        <v>193</v>
      </c>
      <c r="B75" s="52"/>
      <c r="C75" s="105">
        <f>SUM(C72:C74)</f>
        <v>0</v>
      </c>
    </row>
    <row r="76" spans="1:3">
      <c r="A76" s="6" t="s">
        <v>102</v>
      </c>
      <c r="B76" s="106">
        <f>+B3</f>
        <v>220</v>
      </c>
      <c r="C76" s="52"/>
    </row>
    <row r="77" spans="1:3">
      <c r="A77" s="34" t="s">
        <v>215</v>
      </c>
      <c r="B77" s="17">
        <v>0.2</v>
      </c>
      <c r="C77" s="52"/>
    </row>
    <row r="78" spans="1:3">
      <c r="A78" s="34" t="s">
        <v>216</v>
      </c>
      <c r="B78" s="52"/>
      <c r="C78" s="8">
        <f>ROUND((C75/B76)*B77,2)</f>
        <v>0</v>
      </c>
    </row>
    <row r="79" spans="1:3">
      <c r="A79" s="34" t="s">
        <v>217</v>
      </c>
      <c r="B79" s="6">
        <f>ROUND(+B68/B69*B70*B71,0)</f>
        <v>213</v>
      </c>
      <c r="C79" s="53"/>
    </row>
    <row r="80" spans="1:3">
      <c r="A80" s="435" t="s">
        <v>218</v>
      </c>
      <c r="B80" s="435"/>
      <c r="C80" s="32">
        <f>ROUND(+B79*C78,2)</f>
        <v>0</v>
      </c>
    </row>
    <row r="82" spans="1:4">
      <c r="A82" s="434" t="s">
        <v>232</v>
      </c>
      <c r="B82" s="434"/>
      <c r="C82" s="434"/>
    </row>
    <row r="83" spans="1:4">
      <c r="A83" s="6" t="s">
        <v>103</v>
      </c>
      <c r="B83" s="52"/>
      <c r="C83" s="90">
        <f>+C80</f>
        <v>0</v>
      </c>
    </row>
    <row r="84" spans="1:4">
      <c r="A84" s="6" t="s">
        <v>199</v>
      </c>
      <c r="B84" s="6">
        <v>192</v>
      </c>
      <c r="C84" s="54"/>
    </row>
    <row r="85" spans="1:4">
      <c r="A85" s="6" t="s">
        <v>204</v>
      </c>
      <c r="B85" s="6">
        <f>+$B$4</f>
        <v>365.25</v>
      </c>
      <c r="C85" s="54"/>
    </row>
    <row r="86" spans="1:4">
      <c r="A86" s="6" t="s">
        <v>197</v>
      </c>
      <c r="B86" s="6">
        <v>12</v>
      </c>
      <c r="C86" s="54"/>
    </row>
    <row r="87" spans="1:4">
      <c r="A87" s="6" t="s">
        <v>200</v>
      </c>
      <c r="B87" s="17">
        <v>1</v>
      </c>
      <c r="C87" s="54"/>
    </row>
    <row r="88" spans="1:4">
      <c r="A88" s="6" t="s">
        <v>205</v>
      </c>
      <c r="B88" s="92">
        <f>ROUND(((B85/7)*6)-B86,2)</f>
        <v>301.07</v>
      </c>
      <c r="C88" s="54"/>
    </row>
    <row r="89" spans="1:4">
      <c r="A89" s="6" t="s">
        <v>206</v>
      </c>
      <c r="B89" s="34">
        <v>12</v>
      </c>
      <c r="C89" s="54"/>
    </row>
    <row r="90" spans="1:4" ht="25.5">
      <c r="A90" s="30" t="s">
        <v>207</v>
      </c>
      <c r="B90" s="6">
        <f>+((B84/B89)*B87)/B88</f>
        <v>5.3143787159132427E-2</v>
      </c>
      <c r="C90" s="54"/>
    </row>
    <row r="91" spans="1:4">
      <c r="A91" s="24" t="s">
        <v>208</v>
      </c>
      <c r="B91" s="24"/>
      <c r="C91" s="45">
        <f>+C83/B84*(B85-B88)*B90</f>
        <v>0</v>
      </c>
    </row>
    <row r="93" spans="1:4">
      <c r="A93" s="419" t="s">
        <v>219</v>
      </c>
      <c r="B93" s="419"/>
      <c r="C93" s="419"/>
    </row>
    <row r="94" spans="1:4">
      <c r="A94" s="6" t="s">
        <v>204</v>
      </c>
      <c r="B94" s="6">
        <f>+$B$4</f>
        <v>365.25</v>
      </c>
      <c r="C94" s="52"/>
    </row>
    <row r="95" spans="1:4">
      <c r="A95" s="6" t="s">
        <v>206</v>
      </c>
      <c r="B95" s="34">
        <v>12</v>
      </c>
      <c r="C95" s="52"/>
    </row>
    <row r="96" spans="1:4">
      <c r="A96" s="6" t="s">
        <v>213</v>
      </c>
      <c r="B96" s="17">
        <v>1</v>
      </c>
      <c r="C96" s="52"/>
      <c r="D96" s="109"/>
    </row>
    <row r="97" spans="1:4">
      <c r="A97" s="103" t="s">
        <v>388</v>
      </c>
      <c r="B97" s="34">
        <v>7</v>
      </c>
      <c r="C97" s="52"/>
      <c r="D97" s="109"/>
    </row>
    <row r="98" spans="1:4">
      <c r="A98" s="34" t="s">
        <v>220</v>
      </c>
      <c r="B98" s="51">
        <f>(365.25/12)/(7/5)</f>
        <v>21.741071428571431</v>
      </c>
      <c r="C98" s="6"/>
      <c r="D98" s="109"/>
    </row>
    <row r="99" spans="1:4">
      <c r="A99" s="34" t="s">
        <v>221</v>
      </c>
      <c r="B99" s="6">
        <f>ROUND(+B98*B97,2)</f>
        <v>152.19</v>
      </c>
      <c r="C99" s="6"/>
    </row>
    <row r="100" spans="1:4">
      <c r="A100" s="34" t="s">
        <v>214</v>
      </c>
      <c r="B100" s="52"/>
      <c r="C100" s="18">
        <f>+'Vigilante 5x2 12h Arm'!$D$14</f>
        <v>0</v>
      </c>
    </row>
    <row r="101" spans="1:4">
      <c r="A101" s="34" t="s">
        <v>31</v>
      </c>
      <c r="B101" s="52"/>
      <c r="C101" s="18">
        <f>+'Vigilante 5x2 12h Arm'!$D$15</f>
        <v>0</v>
      </c>
    </row>
    <row r="102" spans="1:4">
      <c r="A102" s="34" t="s">
        <v>32</v>
      </c>
      <c r="B102" s="52"/>
      <c r="C102" s="18">
        <f>+'Vigilante 5x2 12h Arm'!$D$16</f>
        <v>0</v>
      </c>
    </row>
    <row r="103" spans="1:4">
      <c r="A103" s="104" t="s">
        <v>193</v>
      </c>
      <c r="B103" s="52"/>
      <c r="C103" s="105">
        <f>SUM(C100:C102)</f>
        <v>0</v>
      </c>
      <c r="D103" s="88"/>
    </row>
    <row r="104" spans="1:4">
      <c r="A104" s="6" t="s">
        <v>102</v>
      </c>
      <c r="B104" s="106">
        <f>+B3</f>
        <v>220</v>
      </c>
      <c r="C104" s="52"/>
    </row>
    <row r="105" spans="1:4">
      <c r="A105" s="34" t="s">
        <v>215</v>
      </c>
      <c r="B105" s="17">
        <v>0.2</v>
      </c>
      <c r="C105" s="52"/>
    </row>
    <row r="106" spans="1:4">
      <c r="A106" s="34" t="s">
        <v>216</v>
      </c>
      <c r="B106" s="52"/>
      <c r="C106" s="8">
        <f>ROUND((C103/B104)*B105,2)</f>
        <v>0</v>
      </c>
    </row>
    <row r="107" spans="1:4">
      <c r="A107" s="34" t="s">
        <v>223</v>
      </c>
      <c r="B107" s="6">
        <v>60</v>
      </c>
      <c r="C107" s="52"/>
    </row>
    <row r="108" spans="1:4">
      <c r="A108" s="34" t="s">
        <v>222</v>
      </c>
      <c r="B108" s="6">
        <v>52.5</v>
      </c>
      <c r="C108" s="52"/>
    </row>
    <row r="109" spans="1:4">
      <c r="A109" s="34" t="s">
        <v>224</v>
      </c>
      <c r="B109" s="6">
        <f>+B107/B108</f>
        <v>1.1428571428571428</v>
      </c>
      <c r="C109" s="52"/>
    </row>
    <row r="110" spans="1:4">
      <c r="A110" s="34" t="s">
        <v>225</v>
      </c>
      <c r="B110" s="6">
        <f>ROUND(+B109*B99,2)</f>
        <v>173.93</v>
      </c>
      <c r="C110" s="52"/>
    </row>
    <row r="111" spans="1:4">
      <c r="A111" s="34" t="s">
        <v>226</v>
      </c>
      <c r="B111" s="6">
        <f>ROUND(B110-B99,2)</f>
        <v>21.74</v>
      </c>
      <c r="C111" s="53"/>
    </row>
    <row r="112" spans="1:4">
      <c r="A112" s="379" t="s">
        <v>227</v>
      </c>
      <c r="B112" s="379"/>
      <c r="C112" s="71">
        <f>+B111*C106</f>
        <v>0</v>
      </c>
    </row>
    <row r="114" spans="1:3">
      <c r="A114" s="419" t="s">
        <v>233</v>
      </c>
      <c r="B114" s="419"/>
      <c r="C114" s="419"/>
    </row>
    <row r="115" spans="1:3">
      <c r="A115" s="6" t="s">
        <v>204</v>
      </c>
      <c r="B115" s="6">
        <f>+$B$4</f>
        <v>365.25</v>
      </c>
      <c r="C115" s="52"/>
    </row>
    <row r="116" spans="1:3">
      <c r="A116" s="6" t="s">
        <v>206</v>
      </c>
      <c r="B116" s="34">
        <v>12</v>
      </c>
      <c r="C116" s="52"/>
    </row>
    <row r="117" spans="1:3">
      <c r="A117" s="6" t="s">
        <v>213</v>
      </c>
      <c r="B117" s="17">
        <v>1</v>
      </c>
      <c r="C117" s="52"/>
    </row>
    <row r="118" spans="1:3">
      <c r="A118" s="34" t="s">
        <v>234</v>
      </c>
      <c r="B118" s="181">
        <f>+B5</f>
        <v>21.741071428571431</v>
      </c>
      <c r="C118" s="52"/>
    </row>
    <row r="119" spans="1:3">
      <c r="A119" s="198" t="s">
        <v>235</v>
      </c>
      <c r="B119" s="199"/>
      <c r="C119" s="52"/>
    </row>
    <row r="120" spans="1:3">
      <c r="A120" s="6" t="s">
        <v>236</v>
      </c>
      <c r="B120" s="17">
        <v>0.06</v>
      </c>
      <c r="C120" s="52"/>
    </row>
    <row r="121" spans="1:3">
      <c r="A121" s="431" t="s">
        <v>237</v>
      </c>
      <c r="B121" s="432"/>
      <c r="C121" s="45">
        <f>ROUND((B118*(B119*2)-($B$6*B120)),2)</f>
        <v>0</v>
      </c>
    </row>
    <row r="123" spans="1:3">
      <c r="A123" s="419" t="s">
        <v>238</v>
      </c>
      <c r="B123" s="419"/>
      <c r="C123" s="419"/>
    </row>
    <row r="124" spans="1:3">
      <c r="A124" s="6" t="s">
        <v>204</v>
      </c>
      <c r="B124" s="6">
        <f>+$B$4</f>
        <v>365.25</v>
      </c>
      <c r="C124" s="52"/>
    </row>
    <row r="125" spans="1:3">
      <c r="A125" s="6" t="s">
        <v>206</v>
      </c>
      <c r="B125" s="34">
        <v>12</v>
      </c>
      <c r="C125" s="52"/>
    </row>
    <row r="126" spans="1:3">
      <c r="A126" s="6" t="s">
        <v>213</v>
      </c>
      <c r="B126" s="17">
        <v>1</v>
      </c>
      <c r="C126" s="52"/>
    </row>
    <row r="127" spans="1:3">
      <c r="A127" s="34" t="s">
        <v>234</v>
      </c>
      <c r="B127" s="181">
        <f>+B5</f>
        <v>21.741071428571431</v>
      </c>
      <c r="C127" s="52"/>
    </row>
    <row r="128" spans="1:3">
      <c r="A128" s="198" t="s">
        <v>239</v>
      </c>
      <c r="B128" s="199"/>
      <c r="C128" s="52"/>
    </row>
    <row r="129" spans="1:3">
      <c r="A129" s="6" t="s">
        <v>367</v>
      </c>
      <c r="B129" s="17">
        <v>0.2</v>
      </c>
      <c r="C129" s="52"/>
    </row>
    <row r="130" spans="1:3">
      <c r="A130" s="431" t="s">
        <v>239</v>
      </c>
      <c r="B130" s="432"/>
      <c r="C130" s="45">
        <f>ROUND((B127*(B128)-((B127*B128)*B129)),2)</f>
        <v>0</v>
      </c>
    </row>
    <row r="132" spans="1:3">
      <c r="A132" s="419" t="s">
        <v>240</v>
      </c>
      <c r="B132" s="419"/>
      <c r="C132" s="419"/>
    </row>
    <row r="133" spans="1:3">
      <c r="A133" s="6" t="s">
        <v>242</v>
      </c>
      <c r="B133" s="18">
        <f>+B7</f>
        <v>0</v>
      </c>
      <c r="C133" s="52"/>
    </row>
    <row r="134" spans="1:3">
      <c r="A134" s="6" t="s">
        <v>243</v>
      </c>
      <c r="B134" s="6">
        <v>12</v>
      </c>
      <c r="C134" s="52"/>
    </row>
    <row r="135" spans="1:3">
      <c r="A135" s="116" t="s">
        <v>244</v>
      </c>
      <c r="B135" s="114"/>
      <c r="C135" s="52"/>
    </row>
    <row r="136" spans="1:3">
      <c r="A136" s="379" t="s">
        <v>245</v>
      </c>
      <c r="B136" s="379"/>
      <c r="C136" s="45">
        <f>ROUND(+(B133/B134)*B135,2)</f>
        <v>0</v>
      </c>
    </row>
    <row r="138" spans="1:3">
      <c r="A138" s="426" t="s">
        <v>246</v>
      </c>
      <c r="B138" s="427"/>
      <c r="C138" s="428"/>
    </row>
    <row r="139" spans="1:3" s="60" customFormat="1">
      <c r="A139" s="117" t="s">
        <v>251</v>
      </c>
      <c r="B139" s="114">
        <f>+B135</f>
        <v>0</v>
      </c>
      <c r="C139" s="52"/>
    </row>
    <row r="140" spans="1:3">
      <c r="A140" s="6" t="s">
        <v>247</v>
      </c>
      <c r="B140" s="18">
        <f>+'Vigilante 5x2 12h Arm'!$D$26</f>
        <v>0</v>
      </c>
      <c r="C140" s="52"/>
    </row>
    <row r="141" spans="1:3">
      <c r="A141" s="6" t="s">
        <v>46</v>
      </c>
      <c r="B141" s="18">
        <f>+'Vigilante 5x2 12h Arm'!$D$32</f>
        <v>0</v>
      </c>
      <c r="C141" s="52"/>
    </row>
    <row r="142" spans="1:3">
      <c r="A142" s="111" t="s">
        <v>45</v>
      </c>
      <c r="B142" s="18">
        <f>+'Vigilante 5x2 12h Arm'!$D$34</f>
        <v>0</v>
      </c>
      <c r="C142" s="52"/>
    </row>
    <row r="143" spans="1:3">
      <c r="A143" s="111" t="s">
        <v>44</v>
      </c>
      <c r="B143" s="18">
        <f>+'Vigilante 5x2 12h Arm'!$D$35</f>
        <v>0</v>
      </c>
      <c r="C143" s="52"/>
    </row>
    <row r="144" spans="1:3">
      <c r="A144" s="104" t="s">
        <v>248</v>
      </c>
      <c r="B144" s="105">
        <f>SUM(B140:B143)</f>
        <v>0</v>
      </c>
      <c r="C144" s="52"/>
    </row>
    <row r="145" spans="1:3">
      <c r="A145" s="25" t="s">
        <v>249</v>
      </c>
      <c r="B145" s="17">
        <v>0.4</v>
      </c>
      <c r="C145" s="52"/>
    </row>
    <row r="146" spans="1:3">
      <c r="A146" s="25" t="s">
        <v>250</v>
      </c>
      <c r="B146" s="17">
        <f>+'Vigilante 5x2 12h Arm'!$C$47</f>
        <v>0.08</v>
      </c>
      <c r="C146" s="52"/>
    </row>
    <row r="147" spans="1:3">
      <c r="A147" s="430" t="s">
        <v>252</v>
      </c>
      <c r="B147" s="430"/>
      <c r="C147" s="73">
        <f>ROUND(+B144*B145*B146*B139,2)</f>
        <v>0</v>
      </c>
    </row>
    <row r="148" spans="1:3">
      <c r="A148" s="25" t="s">
        <v>253</v>
      </c>
      <c r="B148" s="17">
        <v>0.1</v>
      </c>
      <c r="C148" s="52"/>
    </row>
    <row r="149" spans="1:3">
      <c r="A149" s="430" t="s">
        <v>254</v>
      </c>
      <c r="B149" s="430"/>
      <c r="C149" s="112">
        <f>ROUND(B148*B146*B144*B139,2)</f>
        <v>0</v>
      </c>
    </row>
    <row r="150" spans="1:3">
      <c r="A150" s="431" t="s">
        <v>255</v>
      </c>
      <c r="B150" s="432"/>
      <c r="C150" s="71">
        <f>+C149+C147</f>
        <v>0</v>
      </c>
    </row>
    <row r="152" spans="1:3">
      <c r="A152" s="419" t="s">
        <v>256</v>
      </c>
      <c r="B152" s="419"/>
      <c r="C152" s="419"/>
    </row>
    <row r="153" spans="1:3">
      <c r="A153" s="6" t="s">
        <v>242</v>
      </c>
      <c r="B153" s="18">
        <f>+B7</f>
        <v>0</v>
      </c>
      <c r="C153" s="52"/>
    </row>
    <row r="154" spans="1:3">
      <c r="A154" s="6" t="s">
        <v>257</v>
      </c>
      <c r="B154" s="113">
        <v>30</v>
      </c>
      <c r="C154" s="52"/>
    </row>
    <row r="155" spans="1:3">
      <c r="A155" s="6" t="s">
        <v>243</v>
      </c>
      <c r="B155" s="6">
        <v>12</v>
      </c>
      <c r="C155" s="52"/>
    </row>
    <row r="156" spans="1:3">
      <c r="A156" s="6" t="s">
        <v>258</v>
      </c>
      <c r="B156" s="6">
        <v>5</v>
      </c>
      <c r="C156" s="52"/>
    </row>
    <row r="157" spans="1:3">
      <c r="A157" s="116" t="s">
        <v>294</v>
      </c>
      <c r="B157" s="114"/>
      <c r="C157" s="52"/>
    </row>
    <row r="158" spans="1:3">
      <c r="A158" s="379" t="s">
        <v>369</v>
      </c>
      <c r="B158" s="379"/>
      <c r="C158" s="45">
        <f>+ROUND(((B153/B154/B155)*B156)*B157,2)</f>
        <v>0</v>
      </c>
    </row>
    <row r="160" spans="1:3">
      <c r="A160" s="426" t="s">
        <v>259</v>
      </c>
      <c r="B160" s="427"/>
      <c r="C160" s="428"/>
    </row>
    <row r="161" spans="1:3">
      <c r="A161" s="115" t="s">
        <v>260</v>
      </c>
      <c r="B161" s="114">
        <f>+B157</f>
        <v>0</v>
      </c>
      <c r="C161" s="52"/>
    </row>
    <row r="162" spans="1:3">
      <c r="A162" s="6" t="s">
        <v>247</v>
      </c>
      <c r="B162" s="18">
        <f>+'Vigilante 5x2 12h Arm'!$D$26</f>
        <v>0</v>
      </c>
      <c r="C162" s="52"/>
    </row>
    <row r="163" spans="1:3">
      <c r="A163" s="6" t="s">
        <v>46</v>
      </c>
      <c r="B163" s="18">
        <f>+'Vigilante 5x2 12h Arm'!$D$32</f>
        <v>0</v>
      </c>
      <c r="C163" s="52"/>
    </row>
    <row r="164" spans="1:3">
      <c r="A164" s="111" t="s">
        <v>45</v>
      </c>
      <c r="B164" s="18">
        <f>+'Vigilante 5x2 12h Arm'!$D$34</f>
        <v>0</v>
      </c>
      <c r="C164" s="52"/>
    </row>
    <row r="165" spans="1:3">
      <c r="A165" s="111" t="s">
        <v>44</v>
      </c>
      <c r="B165" s="18">
        <f>+'Vigilante 5x2 12h Arm'!$D$35</f>
        <v>0</v>
      </c>
      <c r="C165" s="52"/>
    </row>
    <row r="166" spans="1:3">
      <c r="A166" s="104" t="s">
        <v>248</v>
      </c>
      <c r="B166" s="105">
        <f>SUM(B162:B165)</f>
        <v>0</v>
      </c>
      <c r="C166" s="52"/>
    </row>
    <row r="167" spans="1:3">
      <c r="A167" s="25" t="s">
        <v>249</v>
      </c>
      <c r="B167" s="17">
        <v>0.4</v>
      </c>
      <c r="C167" s="52"/>
    </row>
    <row r="168" spans="1:3">
      <c r="A168" s="25" t="s">
        <v>250</v>
      </c>
      <c r="B168" s="17">
        <f>+'Vigilante 5x2 12h Arm'!$C$47</f>
        <v>0.08</v>
      </c>
      <c r="C168" s="52"/>
    </row>
    <row r="169" spans="1:3">
      <c r="A169" s="430" t="s">
        <v>252</v>
      </c>
      <c r="B169" s="430"/>
      <c r="C169" s="73">
        <f>ROUND(+B166*B167*B168*B161,2)</f>
        <v>0</v>
      </c>
    </row>
    <row r="170" spans="1:3">
      <c r="A170" s="25" t="s">
        <v>253</v>
      </c>
      <c r="B170" s="17">
        <v>0.1</v>
      </c>
      <c r="C170" s="52"/>
    </row>
    <row r="171" spans="1:3">
      <c r="A171" s="430" t="s">
        <v>254</v>
      </c>
      <c r="B171" s="430"/>
      <c r="C171" s="112">
        <f>ROUND(B170*B168*B166*B161,2)</f>
        <v>0</v>
      </c>
    </row>
    <row r="172" spans="1:3">
      <c r="A172" s="431" t="s">
        <v>387</v>
      </c>
      <c r="B172" s="432"/>
      <c r="C172" s="71">
        <f>+C171+C169</f>
        <v>0</v>
      </c>
    </row>
    <row r="174" spans="1:3">
      <c r="A174" s="426" t="s">
        <v>262</v>
      </c>
      <c r="B174" s="427"/>
      <c r="C174" s="428"/>
    </row>
    <row r="175" spans="1:3" ht="14.25" customHeight="1">
      <c r="A175" s="429" t="s">
        <v>359</v>
      </c>
      <c r="B175" s="429"/>
      <c r="C175" s="429"/>
    </row>
    <row r="176" spans="1:3">
      <c r="A176" s="429"/>
      <c r="B176" s="429"/>
      <c r="C176" s="429"/>
    </row>
    <row r="177" spans="1:3">
      <c r="A177" s="429"/>
      <c r="B177" s="429"/>
      <c r="C177" s="429"/>
    </row>
    <row r="178" spans="1:3">
      <c r="A178" s="429"/>
      <c r="B178" s="429"/>
      <c r="C178" s="429"/>
    </row>
    <row r="179" spans="1:3">
      <c r="A179" s="119"/>
      <c r="B179" s="119"/>
      <c r="C179" s="119"/>
    </row>
    <row r="180" spans="1:3">
      <c r="A180" s="422" t="s">
        <v>261</v>
      </c>
      <c r="B180" s="422"/>
      <c r="C180" s="422"/>
    </row>
    <row r="181" spans="1:3">
      <c r="A181" s="6" t="s">
        <v>263</v>
      </c>
      <c r="B181" s="18">
        <f>+$B$7</f>
        <v>0</v>
      </c>
      <c r="C181" s="52"/>
    </row>
    <row r="182" spans="1:3">
      <c r="A182" s="6" t="s">
        <v>206</v>
      </c>
      <c r="B182" s="6">
        <v>30</v>
      </c>
      <c r="C182" s="52"/>
    </row>
    <row r="183" spans="1:3">
      <c r="A183" s="6" t="s">
        <v>264</v>
      </c>
      <c r="B183" s="6">
        <v>12</v>
      </c>
      <c r="C183" s="52"/>
    </row>
    <row r="184" spans="1:3">
      <c r="A184" s="116" t="s">
        <v>265</v>
      </c>
      <c r="B184" s="116"/>
      <c r="C184" s="52"/>
    </row>
    <row r="185" spans="1:3">
      <c r="A185" s="379" t="s">
        <v>266</v>
      </c>
      <c r="B185" s="379"/>
      <c r="C185" s="24">
        <f>+ROUND((B181/B182/B183)*B184,2)</f>
        <v>0</v>
      </c>
    </row>
    <row r="187" spans="1:3">
      <c r="A187" s="422" t="s">
        <v>269</v>
      </c>
      <c r="B187" s="422"/>
      <c r="C187" s="422"/>
    </row>
    <row r="188" spans="1:3">
      <c r="A188" s="6" t="s">
        <v>263</v>
      </c>
      <c r="B188" s="18">
        <f>+$B$7</f>
        <v>0</v>
      </c>
      <c r="C188" s="52"/>
    </row>
    <row r="189" spans="1:3">
      <c r="A189" s="6" t="s">
        <v>206</v>
      </c>
      <c r="B189" s="6">
        <v>30</v>
      </c>
      <c r="C189" s="52"/>
    </row>
    <row r="190" spans="1:3">
      <c r="A190" s="6" t="s">
        <v>264</v>
      </c>
      <c r="B190" s="6">
        <v>12</v>
      </c>
      <c r="C190" s="52"/>
    </row>
    <row r="191" spans="1:3">
      <c r="A191" s="34" t="s">
        <v>267</v>
      </c>
      <c r="B191" s="6">
        <v>5</v>
      </c>
      <c r="C191" s="52"/>
    </row>
    <row r="192" spans="1:3">
      <c r="A192" s="116" t="s">
        <v>268</v>
      </c>
      <c r="B192" s="114"/>
      <c r="C192" s="52"/>
    </row>
    <row r="193" spans="1:3">
      <c r="A193" s="116" t="s">
        <v>270</v>
      </c>
      <c r="B193" s="114"/>
      <c r="C193" s="52"/>
    </row>
    <row r="194" spans="1:3">
      <c r="A194" s="379" t="s">
        <v>271</v>
      </c>
      <c r="B194" s="379"/>
      <c r="C194" s="45">
        <f>ROUND(+B188/B189/B190*B191*B192*B193,2)</f>
        <v>0</v>
      </c>
    </row>
    <row r="196" spans="1:3">
      <c r="A196" s="422" t="s">
        <v>272</v>
      </c>
      <c r="B196" s="422"/>
      <c r="C196" s="422"/>
    </row>
    <row r="197" spans="1:3">
      <c r="A197" s="6" t="s">
        <v>263</v>
      </c>
      <c r="B197" s="18">
        <f>+$B$7</f>
        <v>0</v>
      </c>
      <c r="C197" s="52"/>
    </row>
    <row r="198" spans="1:3">
      <c r="A198" s="6" t="s">
        <v>206</v>
      </c>
      <c r="B198" s="6">
        <v>30</v>
      </c>
      <c r="C198" s="52"/>
    </row>
    <row r="199" spans="1:3">
      <c r="A199" s="6" t="s">
        <v>264</v>
      </c>
      <c r="B199" s="6">
        <v>12</v>
      </c>
      <c r="C199" s="52"/>
    </row>
    <row r="200" spans="1:3">
      <c r="A200" s="34" t="s">
        <v>273</v>
      </c>
      <c r="B200" s="6">
        <v>15</v>
      </c>
      <c r="C200" s="52"/>
    </row>
    <row r="201" spans="1:3">
      <c r="A201" s="116" t="s">
        <v>274</v>
      </c>
      <c r="B201" s="114"/>
      <c r="C201" s="52"/>
    </row>
    <row r="202" spans="1:3">
      <c r="A202" s="379" t="s">
        <v>370</v>
      </c>
      <c r="B202" s="379"/>
      <c r="C202" s="45">
        <f>ROUND(+B197/B198/B199*B200*B201,2)</f>
        <v>0</v>
      </c>
    </row>
    <row r="204" spans="1:3">
      <c r="A204" s="422" t="s">
        <v>275</v>
      </c>
      <c r="B204" s="422"/>
      <c r="C204" s="422"/>
    </row>
    <row r="205" spans="1:3">
      <c r="A205" s="6" t="s">
        <v>263</v>
      </c>
      <c r="B205" s="18">
        <f>+$B$7</f>
        <v>0</v>
      </c>
      <c r="C205" s="52"/>
    </row>
    <row r="206" spans="1:3">
      <c r="A206" s="6" t="s">
        <v>206</v>
      </c>
      <c r="B206" s="6">
        <v>30</v>
      </c>
      <c r="C206" s="52"/>
    </row>
    <row r="207" spans="1:3">
      <c r="A207" s="6" t="s">
        <v>264</v>
      </c>
      <c r="B207" s="6">
        <v>12</v>
      </c>
      <c r="C207" s="52"/>
    </row>
    <row r="208" spans="1:3">
      <c r="A208" s="34" t="s">
        <v>273</v>
      </c>
      <c r="B208" s="6">
        <v>5</v>
      </c>
      <c r="C208" s="52"/>
    </row>
    <row r="209" spans="1:3">
      <c r="A209" s="116" t="s">
        <v>276</v>
      </c>
      <c r="B209" s="114"/>
      <c r="C209" s="52"/>
    </row>
    <row r="210" spans="1:3">
      <c r="A210" s="379" t="s">
        <v>371</v>
      </c>
      <c r="B210" s="379"/>
      <c r="C210" s="45">
        <f>ROUND(+B205/B206/B207*B208*B209,2)</f>
        <v>0</v>
      </c>
    </row>
    <row r="212" spans="1:3">
      <c r="A212" s="419" t="s">
        <v>108</v>
      </c>
      <c r="B212" s="419"/>
      <c r="C212" s="419"/>
    </row>
    <row r="213" spans="1:3">
      <c r="A213" s="83" t="s">
        <v>23</v>
      </c>
      <c r="B213" s="87"/>
      <c r="C213" s="18">
        <f>+'Vigilante 5x2 12h Arm'!D26-'Vigilante 5x2 12h Arm'!D23</f>
        <v>0</v>
      </c>
    </row>
    <row r="214" spans="1:3">
      <c r="A214" s="83" t="s">
        <v>68</v>
      </c>
      <c r="B214" s="87"/>
      <c r="C214" s="18">
        <f>+'Vigilante 5x2 12h Arm'!D71</f>
        <v>0</v>
      </c>
    </row>
    <row r="215" spans="1:3">
      <c r="A215" s="83" t="s">
        <v>153</v>
      </c>
      <c r="B215" s="87"/>
      <c r="C215" s="18">
        <f>+'Vigilante 5x2 12h Arm'!D119</f>
        <v>0</v>
      </c>
    </row>
    <row r="216" spans="1:3">
      <c r="A216" s="83" t="s">
        <v>86</v>
      </c>
      <c r="B216" s="87"/>
      <c r="C216" s="18">
        <f>+'Vigilante 5x2 12h Arm'!D110</f>
        <v>0</v>
      </c>
    </row>
    <row r="217" spans="1:3">
      <c r="A217" s="83" t="s">
        <v>92</v>
      </c>
      <c r="B217" s="87"/>
      <c r="C217" s="18">
        <f>+'Vigilante 5x2 12h Arm'!D111</f>
        <v>0</v>
      </c>
    </row>
    <row r="218" spans="1:3">
      <c r="A218" s="83" t="s">
        <v>70</v>
      </c>
      <c r="B218" s="87"/>
      <c r="C218" s="18">
        <f>+'Vigilante 5x2 12h Arm'!D82</f>
        <v>0</v>
      </c>
    </row>
    <row r="219" spans="1:3">
      <c r="A219" s="83" t="s">
        <v>193</v>
      </c>
      <c r="B219" s="87"/>
      <c r="C219" s="18">
        <f>SUM(C213:C218)</f>
        <v>0</v>
      </c>
    </row>
    <row r="220" spans="1:3">
      <c r="A220" s="83" t="s">
        <v>102</v>
      </c>
      <c r="B220" s="84">
        <v>220</v>
      </c>
      <c r="C220" s="85"/>
    </row>
    <row r="221" spans="1:3">
      <c r="A221" s="83" t="s">
        <v>103</v>
      </c>
      <c r="B221" s="87"/>
      <c r="C221" s="18">
        <f>ROUND(C219/B220,2)</f>
        <v>0</v>
      </c>
    </row>
    <row r="222" spans="1:3">
      <c r="A222" s="6" t="s">
        <v>104</v>
      </c>
      <c r="B222" s="51">
        <f>+B5</f>
        <v>21.741071428571431</v>
      </c>
      <c r="C222" s="58"/>
    </row>
    <row r="223" spans="1:3">
      <c r="A223" s="431" t="s">
        <v>106</v>
      </c>
      <c r="B223" s="432"/>
      <c r="C223" s="71">
        <f>ROUND(+B222*C221,2)</f>
        <v>0</v>
      </c>
    </row>
    <row r="225" spans="1:3">
      <c r="A225" s="422" t="s">
        <v>277</v>
      </c>
      <c r="B225" s="422"/>
      <c r="C225" s="422"/>
    </row>
    <row r="226" spans="1:3">
      <c r="A226" s="423" t="s">
        <v>282</v>
      </c>
      <c r="B226" s="424"/>
      <c r="C226" s="425"/>
    </row>
    <row r="227" spans="1:3">
      <c r="A227" s="6" t="s">
        <v>263</v>
      </c>
      <c r="B227" s="18">
        <f>+$B$7</f>
        <v>0</v>
      </c>
      <c r="C227" s="52"/>
    </row>
    <row r="228" spans="1:3">
      <c r="A228" s="6" t="s">
        <v>281</v>
      </c>
      <c r="B228" s="18">
        <f>+B227*(1/3)</f>
        <v>0</v>
      </c>
      <c r="C228" s="52"/>
    </row>
    <row r="229" spans="1:3">
      <c r="A229" s="104" t="s">
        <v>248</v>
      </c>
      <c r="B229" s="105">
        <f>SUM(B227:B228)</f>
        <v>0</v>
      </c>
      <c r="C229" s="52"/>
    </row>
    <row r="230" spans="1:3">
      <c r="A230" s="6" t="s">
        <v>278</v>
      </c>
      <c r="B230" s="6">
        <v>4</v>
      </c>
      <c r="C230" s="52"/>
    </row>
    <row r="231" spans="1:3">
      <c r="A231" s="6" t="s">
        <v>264</v>
      </c>
      <c r="B231" s="6">
        <v>12</v>
      </c>
      <c r="C231" s="52"/>
    </row>
    <row r="232" spans="1:3">
      <c r="A232" s="116" t="s">
        <v>279</v>
      </c>
      <c r="B232" s="114"/>
      <c r="C232" s="52"/>
    </row>
    <row r="233" spans="1:3">
      <c r="A233" s="116" t="s">
        <v>280</v>
      </c>
      <c r="B233" s="114"/>
      <c r="C233" s="52"/>
    </row>
    <row r="234" spans="1:3">
      <c r="A234" s="379" t="s">
        <v>283</v>
      </c>
      <c r="B234" s="379"/>
      <c r="C234" s="45">
        <f>ROUND((((+B229*(B230/B231)/B231)*B232)*B233),2)</f>
        <v>0</v>
      </c>
    </row>
    <row r="235" spans="1:3">
      <c r="A235" s="379" t="s">
        <v>284</v>
      </c>
      <c r="B235" s="379"/>
      <c r="C235" s="379"/>
    </row>
    <row r="236" spans="1:3">
      <c r="A236" s="6" t="s">
        <v>263</v>
      </c>
      <c r="B236" s="18">
        <f>+'Vigilante 5x2 12h Arm'!D26</f>
        <v>0</v>
      </c>
      <c r="C236" s="52"/>
    </row>
    <row r="237" spans="1:3">
      <c r="A237" s="6" t="s">
        <v>46</v>
      </c>
      <c r="B237" s="18">
        <f>+'Vigilante 5x2 12h Arm'!D32</f>
        <v>0</v>
      </c>
      <c r="C237" s="52"/>
    </row>
    <row r="238" spans="1:3">
      <c r="A238" s="104" t="s">
        <v>248</v>
      </c>
      <c r="B238" s="105">
        <f>SUM(B236:B237)</f>
        <v>0</v>
      </c>
      <c r="C238" s="52"/>
    </row>
    <row r="239" spans="1:3">
      <c r="A239" s="6" t="s">
        <v>278</v>
      </c>
      <c r="B239" s="6">
        <v>4</v>
      </c>
      <c r="C239" s="52"/>
    </row>
    <row r="240" spans="1:3">
      <c r="A240" s="6" t="s">
        <v>264</v>
      </c>
      <c r="B240" s="6">
        <v>12</v>
      </c>
      <c r="C240" s="52"/>
    </row>
    <row r="241" spans="1:3">
      <c r="A241" s="116" t="s">
        <v>279</v>
      </c>
      <c r="B241" s="114"/>
      <c r="C241" s="52"/>
    </row>
    <row r="242" spans="1:3">
      <c r="A242" s="116" t="s">
        <v>280</v>
      </c>
      <c r="B242" s="114"/>
      <c r="C242" s="52"/>
    </row>
    <row r="243" spans="1:3">
      <c r="A243" s="34" t="s">
        <v>285</v>
      </c>
      <c r="B243" s="17">
        <f>+'Vigilante 5x2 12h Arm'!C48</f>
        <v>0.36800000000000005</v>
      </c>
      <c r="C243" s="52"/>
    </row>
    <row r="244" spans="1:3">
      <c r="A244" s="379" t="s">
        <v>286</v>
      </c>
      <c r="B244" s="379"/>
      <c r="C244" s="71">
        <f>ROUND((((B238*(B239/B240)*B241)*B242)*B243),2)</f>
        <v>0</v>
      </c>
    </row>
  </sheetData>
  <mergeCells count="45">
    <mergeCell ref="A114:C114"/>
    <mergeCell ref="A1:C1"/>
    <mergeCell ref="A9:C9"/>
    <mergeCell ref="A26:B26"/>
    <mergeCell ref="A28:C28"/>
    <mergeCell ref="A52:C52"/>
    <mergeCell ref="A65:B65"/>
    <mergeCell ref="A67:C67"/>
    <mergeCell ref="A80:B80"/>
    <mergeCell ref="A82:C82"/>
    <mergeCell ref="A93:C93"/>
    <mergeCell ref="A112:B112"/>
    <mergeCell ref="A160:C160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58:B158"/>
    <mergeCell ref="A171:B171"/>
    <mergeCell ref="A172:B172"/>
    <mergeCell ref="A174:C174"/>
    <mergeCell ref="A175:C178"/>
    <mergeCell ref="A180:C180"/>
    <mergeCell ref="A235:C235"/>
    <mergeCell ref="A244:B244"/>
    <mergeCell ref="A39:C39"/>
    <mergeCell ref="A210:B210"/>
    <mergeCell ref="A212:C212"/>
    <mergeCell ref="A223:B223"/>
    <mergeCell ref="A225:C225"/>
    <mergeCell ref="A226:C226"/>
    <mergeCell ref="A234:B234"/>
    <mergeCell ref="A185:B185"/>
    <mergeCell ref="A187:C187"/>
    <mergeCell ref="A194:B194"/>
    <mergeCell ref="A196:C196"/>
    <mergeCell ref="A202:B202"/>
    <mergeCell ref="A204:C204"/>
    <mergeCell ref="A169:B169"/>
  </mergeCells>
  <pageMargins left="0.84" right="0.1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F184"/>
  <sheetViews>
    <sheetView workbookViewId="0">
      <selection activeCell="A20" sqref="A20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3" spans="1:6">
      <c r="A3" s="373" t="s">
        <v>16</v>
      </c>
      <c r="B3" s="374"/>
      <c r="C3" s="374"/>
      <c r="D3" s="390"/>
    </row>
    <row r="4" spans="1:6" s="1" customFormat="1" ht="40.5" customHeight="1">
      <c r="A4" s="168">
        <v>1</v>
      </c>
      <c r="B4" s="167" t="s">
        <v>17</v>
      </c>
      <c r="C4" s="455" t="s">
        <v>361</v>
      </c>
      <c r="D4" s="456"/>
    </row>
    <row r="5" spans="1:6" s="1" customFormat="1">
      <c r="A5" s="168">
        <v>2</v>
      </c>
      <c r="B5" s="167" t="s">
        <v>18</v>
      </c>
      <c r="C5" s="473" t="s">
        <v>295</v>
      </c>
      <c r="D5" s="472"/>
    </row>
    <row r="6" spans="1:6" s="1" customFormat="1">
      <c r="A6" s="168">
        <v>3</v>
      </c>
      <c r="B6" s="167" t="s">
        <v>19</v>
      </c>
      <c r="C6" s="401"/>
      <c r="D6" s="401"/>
    </row>
    <row r="7" spans="1:6" s="1" customFormat="1" ht="43.5" customHeight="1">
      <c r="A7" s="168">
        <v>4</v>
      </c>
      <c r="B7" s="167" t="s">
        <v>21</v>
      </c>
      <c r="C7" s="459" t="s">
        <v>296</v>
      </c>
      <c r="D7" s="460"/>
    </row>
    <row r="8" spans="1:6" s="1" customFormat="1">
      <c r="A8" s="168">
        <v>5</v>
      </c>
      <c r="B8" s="167" t="s">
        <v>20</v>
      </c>
      <c r="C8" s="471">
        <v>42795</v>
      </c>
      <c r="D8" s="472"/>
    </row>
    <row r="9" spans="1:6">
      <c r="D9" s="196"/>
    </row>
    <row r="10" spans="1:6">
      <c r="A10" s="409" t="s">
        <v>22</v>
      </c>
      <c r="B10" s="409"/>
      <c r="C10" s="409"/>
      <c r="D10" s="409"/>
    </row>
    <row r="11" spans="1:6">
      <c r="A11" s="4">
        <v>1</v>
      </c>
      <c r="B11" s="94" t="s">
        <v>23</v>
      </c>
      <c r="C11" s="184" t="s">
        <v>50</v>
      </c>
      <c r="D11" s="5" t="s">
        <v>24</v>
      </c>
    </row>
    <row r="12" spans="1:6">
      <c r="A12" s="183" t="s">
        <v>3</v>
      </c>
      <c r="B12" s="323" t="s">
        <v>30</v>
      </c>
      <c r="C12" s="323"/>
      <c r="D12" s="7">
        <f>+C6</f>
        <v>0</v>
      </c>
    </row>
    <row r="13" spans="1:6">
      <c r="A13" s="183" t="s">
        <v>4</v>
      </c>
      <c r="B13" s="89" t="s">
        <v>31</v>
      </c>
      <c r="C13" s="95">
        <v>0.3</v>
      </c>
      <c r="D13" s="7">
        <f>+(D12+D22)*C13</f>
        <v>0</v>
      </c>
      <c r="E13" s="88"/>
    </row>
    <row r="14" spans="1:6">
      <c r="A14" s="183" t="s">
        <v>5</v>
      </c>
      <c r="B14" s="89" t="s">
        <v>32</v>
      </c>
      <c r="C14" s="95"/>
      <c r="D14" s="7"/>
    </row>
    <row r="15" spans="1:6">
      <c r="A15" s="183" t="s">
        <v>6</v>
      </c>
      <c r="B15" s="323" t="s">
        <v>33</v>
      </c>
      <c r="C15" s="323"/>
      <c r="D15" s="7"/>
    </row>
    <row r="16" spans="1:6">
      <c r="A16" s="183" t="s">
        <v>25</v>
      </c>
      <c r="B16" s="323" t="s">
        <v>34</v>
      </c>
      <c r="C16" s="323"/>
      <c r="D16" s="7"/>
    </row>
    <row r="17" spans="1:6">
      <c r="A17" s="183" t="s">
        <v>26</v>
      </c>
      <c r="B17" s="412" t="s">
        <v>231</v>
      </c>
      <c r="C17" s="413"/>
      <c r="D17" s="7"/>
    </row>
    <row r="18" spans="1:6">
      <c r="A18" s="183" t="s">
        <v>27</v>
      </c>
      <c r="B18" s="323" t="s">
        <v>35</v>
      </c>
      <c r="C18" s="323"/>
      <c r="D18" s="7"/>
    </row>
    <row r="19" spans="1:6">
      <c r="A19" s="183" t="s">
        <v>28</v>
      </c>
      <c r="B19" s="412" t="s">
        <v>195</v>
      </c>
      <c r="C19" s="413"/>
      <c r="D19" s="93"/>
    </row>
    <row r="20" spans="1:6">
      <c r="A20" s="183" t="s">
        <v>64</v>
      </c>
      <c r="B20" s="89" t="s">
        <v>65</v>
      </c>
      <c r="C20" s="95"/>
      <c r="D20" s="7"/>
    </row>
    <row r="21" spans="1:6">
      <c r="A21" s="183" t="s">
        <v>194</v>
      </c>
      <c r="B21" s="323" t="s">
        <v>95</v>
      </c>
      <c r="C21" s="323"/>
      <c r="D21" s="8"/>
      <c r="F21" s="98"/>
    </row>
    <row r="22" spans="1:6">
      <c r="A22" s="183" t="s">
        <v>196</v>
      </c>
      <c r="B22" s="412" t="s">
        <v>345</v>
      </c>
      <c r="C22" s="413"/>
      <c r="D22" s="8">
        <f>+'Calculo 5x2 12h Desar'!C50</f>
        <v>0</v>
      </c>
      <c r="F22" s="98"/>
    </row>
    <row r="23" spans="1:6">
      <c r="A23" s="183" t="s">
        <v>343</v>
      </c>
      <c r="B23" s="323" t="s">
        <v>36</v>
      </c>
      <c r="C23" s="323"/>
      <c r="D23" s="8"/>
    </row>
    <row r="24" spans="1:6">
      <c r="A24" s="380" t="s">
        <v>29</v>
      </c>
      <c r="B24" s="380"/>
      <c r="C24" s="380"/>
      <c r="D24" s="9">
        <f>SUM(D12:D23)</f>
        <v>0</v>
      </c>
    </row>
    <row r="26" spans="1:6">
      <c r="A26" s="409" t="s">
        <v>37</v>
      </c>
      <c r="B26" s="409"/>
      <c r="C26" s="409"/>
      <c r="D26" s="409"/>
    </row>
    <row r="28" spans="1:6">
      <c r="A28" s="409" t="s">
        <v>38</v>
      </c>
      <c r="B28" s="409"/>
      <c r="C28" s="409"/>
      <c r="D28" s="409"/>
    </row>
    <row r="29" spans="1:6">
      <c r="A29" s="19" t="s">
        <v>39</v>
      </c>
      <c r="B29" s="14" t="s">
        <v>40</v>
      </c>
      <c r="C29" s="22" t="s">
        <v>50</v>
      </c>
      <c r="D29" s="20" t="s">
        <v>24</v>
      </c>
    </row>
    <row r="30" spans="1:6">
      <c r="A30" s="183" t="s">
        <v>3</v>
      </c>
      <c r="B30" s="6" t="s">
        <v>46</v>
      </c>
      <c r="C30" s="29" t="e">
        <f>ROUND(+D30/$D$24,4)</f>
        <v>#DIV/0!</v>
      </c>
      <c r="D30" s="8">
        <f>ROUND(+D24/12,2)</f>
        <v>0</v>
      </c>
    </row>
    <row r="31" spans="1:6">
      <c r="A31" s="28" t="s">
        <v>4</v>
      </c>
      <c r="B31" s="37" t="s">
        <v>43</v>
      </c>
      <c r="C31" s="38" t="e">
        <f>ROUND(+D31/$D$24,4)</f>
        <v>#DIV/0!</v>
      </c>
      <c r="D31" s="39">
        <f>+D32+D33</f>
        <v>0</v>
      </c>
    </row>
    <row r="32" spans="1:6">
      <c r="A32" s="183" t="s">
        <v>41</v>
      </c>
      <c r="B32" s="35" t="s">
        <v>45</v>
      </c>
      <c r="C32" s="40" t="e">
        <f>ROUND(+D32/$D$24,4)</f>
        <v>#DIV/0!</v>
      </c>
      <c r="D32" s="36">
        <f>ROUND(+D24/12,2)</f>
        <v>0</v>
      </c>
    </row>
    <row r="33" spans="1:4">
      <c r="A33" s="183" t="s">
        <v>42</v>
      </c>
      <c r="B33" s="35" t="s">
        <v>44</v>
      </c>
      <c r="C33" s="40" t="e">
        <f>ROUND(+D33/$D$24,4)</f>
        <v>#DIV/0!</v>
      </c>
      <c r="D33" s="36">
        <f>ROUND(+(D24*1/3)/12,2)</f>
        <v>0</v>
      </c>
    </row>
    <row r="34" spans="1:4">
      <c r="A34" s="380" t="s">
        <v>29</v>
      </c>
      <c r="B34" s="380"/>
      <c r="C34" s="380"/>
      <c r="D34" s="9">
        <f>+D31+D30</f>
        <v>0</v>
      </c>
    </row>
    <row r="36" spans="1:4">
      <c r="A36" s="404" t="s">
        <v>47</v>
      </c>
      <c r="B36" s="404"/>
      <c r="C36" s="404"/>
      <c r="D36" s="404"/>
    </row>
    <row r="37" spans="1:4">
      <c r="A37" s="19" t="s">
        <v>48</v>
      </c>
      <c r="B37" s="21" t="s">
        <v>49</v>
      </c>
      <c r="C37" s="22" t="s">
        <v>50</v>
      </c>
      <c r="D37" s="20" t="s">
        <v>24</v>
      </c>
    </row>
    <row r="38" spans="1:4">
      <c r="A38" s="183" t="s">
        <v>3</v>
      </c>
      <c r="B38" s="6" t="s">
        <v>51</v>
      </c>
      <c r="C38" s="17">
        <v>0.2</v>
      </c>
      <c r="D38" s="18">
        <f>ROUND(C38*($D$24+$D$34),2)</f>
        <v>0</v>
      </c>
    </row>
    <row r="39" spans="1:4">
      <c r="A39" s="183" t="s">
        <v>4</v>
      </c>
      <c r="B39" s="6" t="s">
        <v>52</v>
      </c>
      <c r="C39" s="17">
        <v>2.5000000000000001E-2</v>
      </c>
      <c r="D39" s="18">
        <f t="shared" ref="D39:D44" si="0">ROUND(C39*($D$24+$D$34),2)</f>
        <v>0</v>
      </c>
    </row>
    <row r="40" spans="1:4">
      <c r="A40" s="183" t="s">
        <v>5</v>
      </c>
      <c r="B40" s="6" t="s">
        <v>58</v>
      </c>
      <c r="C40" s="17">
        <f>3%</f>
        <v>0.03</v>
      </c>
      <c r="D40" s="18">
        <f t="shared" si="0"/>
        <v>0</v>
      </c>
    </row>
    <row r="41" spans="1:4">
      <c r="A41" s="183" t="s">
        <v>6</v>
      </c>
      <c r="B41" s="6" t="s">
        <v>53</v>
      </c>
      <c r="C41" s="17">
        <v>1.4999999999999999E-2</v>
      </c>
      <c r="D41" s="18">
        <f t="shared" si="0"/>
        <v>0</v>
      </c>
    </row>
    <row r="42" spans="1:4">
      <c r="A42" s="183" t="s">
        <v>25</v>
      </c>
      <c r="B42" s="6" t="s">
        <v>54</v>
      </c>
      <c r="C42" s="17">
        <v>0.01</v>
      </c>
      <c r="D42" s="18">
        <f t="shared" si="0"/>
        <v>0</v>
      </c>
    </row>
    <row r="43" spans="1:4">
      <c r="A43" s="183" t="s">
        <v>26</v>
      </c>
      <c r="B43" s="6" t="s">
        <v>55</v>
      </c>
      <c r="C43" s="17">
        <v>6.0000000000000001E-3</v>
      </c>
      <c r="D43" s="18">
        <f t="shared" si="0"/>
        <v>0</v>
      </c>
    </row>
    <row r="44" spans="1:4">
      <c r="A44" s="183" t="s">
        <v>27</v>
      </c>
      <c r="B44" s="6" t="s">
        <v>56</v>
      </c>
      <c r="C44" s="17">
        <v>2E-3</v>
      </c>
      <c r="D44" s="18">
        <f t="shared" si="0"/>
        <v>0</v>
      </c>
    </row>
    <row r="45" spans="1:4">
      <c r="A45" s="183" t="s">
        <v>28</v>
      </c>
      <c r="B45" s="6" t="s">
        <v>57</v>
      </c>
      <c r="C45" s="17">
        <v>0.08</v>
      </c>
      <c r="D45" s="18">
        <f>ROUND(C45*($D$24+$D$34),2)</f>
        <v>0</v>
      </c>
    </row>
    <row r="46" spans="1:4">
      <c r="A46" s="185" t="s">
        <v>29</v>
      </c>
      <c r="B46" s="187"/>
      <c r="C46" s="41">
        <f>SUM(C38:C45)</f>
        <v>0.36800000000000005</v>
      </c>
      <c r="D46" s="42">
        <f>SUM(D38:D45)</f>
        <v>0</v>
      </c>
    </row>
    <row r="47" spans="1:4">
      <c r="A47" s="43"/>
      <c r="B47" s="43"/>
      <c r="C47" s="43"/>
      <c r="D47" s="43"/>
    </row>
    <row r="48" spans="1:4" ht="12.75" customHeight="1">
      <c r="A48" s="404" t="s">
        <v>59</v>
      </c>
      <c r="B48" s="404"/>
      <c r="C48" s="404"/>
      <c r="D48" s="404"/>
    </row>
    <row r="49" spans="1:6">
      <c r="A49" s="19" t="s">
        <v>60</v>
      </c>
      <c r="B49" s="21" t="s">
        <v>61</v>
      </c>
      <c r="C49" s="22"/>
      <c r="D49" s="20" t="s">
        <v>24</v>
      </c>
    </row>
    <row r="50" spans="1:6">
      <c r="A50" s="107" t="s">
        <v>3</v>
      </c>
      <c r="B50" s="6" t="s">
        <v>62</v>
      </c>
      <c r="C50" s="54"/>
      <c r="D50" s="18">
        <f>+'Calculo 5x2 12h Desar'!C121</f>
        <v>0</v>
      </c>
    </row>
    <row r="51" spans="1:6" s="60" customFormat="1">
      <c r="A51" s="75" t="s">
        <v>177</v>
      </c>
      <c r="B51" s="34" t="s">
        <v>178</v>
      </c>
      <c r="C51" s="29">
        <f>+$C$136+$C$137</f>
        <v>3.6499999999999998E-2</v>
      </c>
      <c r="D51" s="77">
        <f>+(C51*D50)*-1</f>
        <v>0</v>
      </c>
      <c r="F51" s="76"/>
    </row>
    <row r="52" spans="1:6">
      <c r="A52" s="107" t="s">
        <v>4</v>
      </c>
      <c r="B52" s="6" t="s">
        <v>63</v>
      </c>
      <c r="C52" s="54"/>
      <c r="D52" s="18">
        <f>+'Calculo 5x2 12h Desar'!C130</f>
        <v>0</v>
      </c>
      <c r="F52" s="61"/>
    </row>
    <row r="53" spans="1:6" s="60" customFormat="1">
      <c r="A53" s="75" t="s">
        <v>41</v>
      </c>
      <c r="B53" s="34" t="s">
        <v>178</v>
      </c>
      <c r="C53" s="29">
        <f>+$C$136+$C$137</f>
        <v>3.6499999999999998E-2</v>
      </c>
      <c r="D53" s="77">
        <f>+(C53*D52)*-1</f>
        <v>0</v>
      </c>
      <c r="F53" s="78"/>
    </row>
    <row r="54" spans="1:6">
      <c r="A54" s="6" t="s">
        <v>5</v>
      </c>
      <c r="B54" s="6" t="s">
        <v>66</v>
      </c>
      <c r="C54" s="54"/>
      <c r="D54" s="18"/>
      <c r="F54" s="61"/>
    </row>
    <row r="55" spans="1:6">
      <c r="A55" s="75" t="s">
        <v>161</v>
      </c>
      <c r="B55" s="34" t="s">
        <v>178</v>
      </c>
      <c r="C55" s="29">
        <f>+$C$136+$C$137</f>
        <v>3.6499999999999998E-2</v>
      </c>
      <c r="D55" s="77">
        <f>+(C55*D54)*-1</f>
        <v>0</v>
      </c>
      <c r="F55" s="61"/>
    </row>
    <row r="56" spans="1:6">
      <c r="A56" s="116" t="s">
        <v>6</v>
      </c>
      <c r="B56" s="116" t="s">
        <v>389</v>
      </c>
      <c r="C56" s="54"/>
      <c r="D56" s="301"/>
      <c r="F56" s="61"/>
    </row>
    <row r="57" spans="1:6">
      <c r="A57" s="75" t="s">
        <v>179</v>
      </c>
      <c r="B57" s="34" t="s">
        <v>178</v>
      </c>
      <c r="C57" s="29">
        <f>+$C$136+$C$137</f>
        <v>3.6499999999999998E-2</v>
      </c>
      <c r="D57" s="77">
        <f>+(C57*D56)*-1</f>
        <v>0</v>
      </c>
      <c r="F57" s="61"/>
    </row>
    <row r="58" spans="1:6">
      <c r="A58" s="116" t="s">
        <v>25</v>
      </c>
      <c r="B58" s="116" t="s">
        <v>396</v>
      </c>
      <c r="C58" s="54"/>
      <c r="D58" s="302"/>
      <c r="F58" s="130"/>
    </row>
    <row r="59" spans="1:6">
      <c r="A59" s="75" t="s">
        <v>180</v>
      </c>
      <c r="B59" s="34" t="s">
        <v>178</v>
      </c>
      <c r="C59" s="29">
        <f>+$C$136+$C$137</f>
        <v>3.6499999999999998E-2</v>
      </c>
      <c r="D59" s="77">
        <f>+(C59*D58)*-1</f>
        <v>0</v>
      </c>
    </row>
    <row r="60" spans="1:6">
      <c r="A60" s="116" t="s">
        <v>26</v>
      </c>
      <c r="B60" s="416" t="s">
        <v>293</v>
      </c>
      <c r="C60" s="416"/>
      <c r="D60" s="301"/>
    </row>
    <row r="61" spans="1:6">
      <c r="A61" s="75" t="s">
        <v>81</v>
      </c>
      <c r="B61" s="34" t="s">
        <v>178</v>
      </c>
      <c r="C61" s="29">
        <f>+$C$136+$C$137</f>
        <v>3.6499999999999998E-2</v>
      </c>
      <c r="D61" s="77">
        <f>+(C61*D60)*-1</f>
        <v>0</v>
      </c>
    </row>
    <row r="62" spans="1:6">
      <c r="A62" s="373" t="s">
        <v>29</v>
      </c>
      <c r="B62" s="390"/>
      <c r="C62" s="16"/>
      <c r="D62" s="110">
        <f>SUM(D50:D61)</f>
        <v>0</v>
      </c>
    </row>
    <row r="64" spans="1:6">
      <c r="A64" s="409" t="s">
        <v>67</v>
      </c>
      <c r="B64" s="409"/>
      <c r="C64" s="409"/>
      <c r="D64" s="409"/>
    </row>
    <row r="65" spans="1:4">
      <c r="A65" s="24">
        <v>2</v>
      </c>
      <c r="B65" s="409" t="s">
        <v>68</v>
      </c>
      <c r="C65" s="409"/>
      <c r="D65" s="189" t="s">
        <v>24</v>
      </c>
    </row>
    <row r="66" spans="1:4">
      <c r="A66" s="25" t="s">
        <v>39</v>
      </c>
      <c r="B66" s="421" t="s">
        <v>40</v>
      </c>
      <c r="C66" s="421"/>
      <c r="D66" s="18">
        <f>+D34</f>
        <v>0</v>
      </c>
    </row>
    <row r="67" spans="1:4">
      <c r="A67" s="25" t="s">
        <v>48</v>
      </c>
      <c r="B67" s="421" t="s">
        <v>49</v>
      </c>
      <c r="C67" s="421"/>
      <c r="D67" s="18">
        <f>+D46</f>
        <v>0</v>
      </c>
    </row>
    <row r="68" spans="1:4">
      <c r="A68" s="25" t="s">
        <v>60</v>
      </c>
      <c r="B68" s="421" t="s">
        <v>61</v>
      </c>
      <c r="C68" s="421"/>
      <c r="D68" s="68">
        <f>+D62</f>
        <v>0</v>
      </c>
    </row>
    <row r="69" spans="1:4">
      <c r="A69" s="409" t="s">
        <v>29</v>
      </c>
      <c r="B69" s="409"/>
      <c r="C69" s="409"/>
      <c r="D69" s="26">
        <f>SUM(D66:D68)</f>
        <v>0</v>
      </c>
    </row>
    <row r="71" spans="1:4">
      <c r="A71" s="409" t="s">
        <v>69</v>
      </c>
      <c r="B71" s="409"/>
      <c r="C71" s="409"/>
      <c r="D71" s="409"/>
    </row>
    <row r="73" spans="1:4">
      <c r="A73" s="13">
        <v>3</v>
      </c>
      <c r="B73" s="14" t="s">
        <v>70</v>
      </c>
      <c r="C73" s="184" t="s">
        <v>50</v>
      </c>
      <c r="D73" s="184" t="s">
        <v>24</v>
      </c>
    </row>
    <row r="74" spans="1:4">
      <c r="A74" s="183" t="s">
        <v>3</v>
      </c>
      <c r="B74" s="34" t="s">
        <v>72</v>
      </c>
      <c r="C74" s="29" t="e">
        <f>+D74/$D$24</f>
        <v>#DIV/0!</v>
      </c>
      <c r="D74" s="118">
        <f>+'Calculo 5x2 12h Desar'!C136</f>
        <v>0</v>
      </c>
    </row>
    <row r="75" spans="1:4">
      <c r="A75" s="183" t="s">
        <v>4</v>
      </c>
      <c r="B75" s="6" t="s">
        <v>73</v>
      </c>
      <c r="C75" s="52"/>
      <c r="D75" s="8">
        <f>ROUND(+D74*$C$45,2)</f>
        <v>0</v>
      </c>
    </row>
    <row r="76" spans="1:4" ht="25.5">
      <c r="A76" s="183" t="s">
        <v>5</v>
      </c>
      <c r="B76" s="30" t="s">
        <v>75</v>
      </c>
      <c r="C76" s="17" t="e">
        <f>+D76/$D$24</f>
        <v>#DIV/0!</v>
      </c>
      <c r="D76" s="8">
        <f>+'Calculo 5x2 12h Desar'!C150</f>
        <v>0</v>
      </c>
    </row>
    <row r="77" spans="1:4">
      <c r="A77" s="108" t="s">
        <v>6</v>
      </c>
      <c r="B77" s="6" t="s">
        <v>71</v>
      </c>
      <c r="C77" s="17" t="e">
        <f>+D77/$D$24</f>
        <v>#DIV/0!</v>
      </c>
      <c r="D77" s="8">
        <f>+'Calculo 5x2 12h Desar'!C158</f>
        <v>0</v>
      </c>
    </row>
    <row r="78" spans="1:4" ht="25.5">
      <c r="A78" s="108" t="s">
        <v>25</v>
      </c>
      <c r="B78" s="30" t="s">
        <v>74</v>
      </c>
      <c r="C78" s="52"/>
      <c r="D78" s="8">
        <f>+D77*C46</f>
        <v>0</v>
      </c>
    </row>
    <row r="79" spans="1:4" ht="25.5">
      <c r="A79" s="108" t="s">
        <v>26</v>
      </c>
      <c r="B79" s="30" t="s">
        <v>76</v>
      </c>
      <c r="C79" s="17" t="e">
        <f>+D79/$D$24</f>
        <v>#DIV/0!</v>
      </c>
      <c r="D79" s="18">
        <f>+'Calculo 5x2 12h Desar'!C172</f>
        <v>0</v>
      </c>
    </row>
    <row r="80" spans="1:4">
      <c r="A80" s="373" t="s">
        <v>29</v>
      </c>
      <c r="B80" s="374"/>
      <c r="C80" s="390"/>
      <c r="D80" s="32">
        <f>SUM(D74:D79)</f>
        <v>0</v>
      </c>
    </row>
    <row r="82" spans="1:4">
      <c r="A82" s="409" t="s">
        <v>84</v>
      </c>
      <c r="B82" s="409"/>
      <c r="C82" s="409"/>
      <c r="D82" s="409"/>
    </row>
    <row r="84" spans="1:4">
      <c r="A84" s="404" t="s">
        <v>87</v>
      </c>
      <c r="B84" s="404"/>
      <c r="C84" s="404"/>
      <c r="D84" s="404"/>
    </row>
    <row r="85" spans="1:4">
      <c r="A85" s="13" t="s">
        <v>85</v>
      </c>
      <c r="B85" s="373" t="s">
        <v>86</v>
      </c>
      <c r="C85" s="390"/>
      <c r="D85" s="184" t="s">
        <v>24</v>
      </c>
    </row>
    <row r="86" spans="1:4">
      <c r="A86" s="6" t="s">
        <v>3</v>
      </c>
      <c r="B86" s="377" t="s">
        <v>88</v>
      </c>
      <c r="C86" s="378"/>
      <c r="D86" s="8"/>
    </row>
    <row r="87" spans="1:4">
      <c r="A87" s="34" t="s">
        <v>4</v>
      </c>
      <c r="B87" s="396" t="s">
        <v>86</v>
      </c>
      <c r="C87" s="397"/>
      <c r="D87" s="120">
        <f>+'Calculo 5x2 12h Desar'!C185</f>
        <v>0</v>
      </c>
    </row>
    <row r="88" spans="1:4" s="60" customFormat="1">
      <c r="A88" s="34" t="s">
        <v>5</v>
      </c>
      <c r="B88" s="396" t="s">
        <v>89</v>
      </c>
      <c r="C88" s="397"/>
      <c r="D88" s="120">
        <f>+'Calculo 5x2 12h Desar'!C194</f>
        <v>0</v>
      </c>
    </row>
    <row r="89" spans="1:4" s="60" customFormat="1">
      <c r="A89" s="34" t="s">
        <v>6</v>
      </c>
      <c r="B89" s="396" t="s">
        <v>90</v>
      </c>
      <c r="C89" s="397"/>
      <c r="D89" s="120">
        <f>+'Calculo 5x2 12h Desar'!C202</f>
        <v>0</v>
      </c>
    </row>
    <row r="90" spans="1:4" s="60" customFormat="1" ht="13.5">
      <c r="A90" s="34" t="s">
        <v>25</v>
      </c>
      <c r="B90" s="396" t="s">
        <v>287</v>
      </c>
      <c r="C90" s="397"/>
      <c r="D90" s="120"/>
    </row>
    <row r="91" spans="1:4" s="60" customFormat="1">
      <c r="A91" s="34" t="s">
        <v>26</v>
      </c>
      <c r="B91" s="396" t="s">
        <v>93</v>
      </c>
      <c r="C91" s="397"/>
      <c r="D91" s="120">
        <f>+'Calculo 5x2 12h Desar'!C210</f>
        <v>0</v>
      </c>
    </row>
    <row r="92" spans="1:4">
      <c r="A92" s="6" t="s">
        <v>27</v>
      </c>
      <c r="B92" s="377" t="s">
        <v>36</v>
      </c>
      <c r="C92" s="378"/>
      <c r="D92" s="8"/>
    </row>
    <row r="93" spans="1:4">
      <c r="A93" s="6" t="s">
        <v>28</v>
      </c>
      <c r="B93" s="377" t="s">
        <v>94</v>
      </c>
      <c r="C93" s="378"/>
      <c r="D93" s="8">
        <f>ROUND((D87+D88+D89+D86+D90+D91+D92)*C46,2)</f>
        <v>0</v>
      </c>
    </row>
    <row r="94" spans="1:4">
      <c r="A94" s="380" t="s">
        <v>29</v>
      </c>
      <c r="B94" s="380"/>
      <c r="C94" s="380"/>
      <c r="D94" s="9">
        <f>SUM(D86:D93)</f>
        <v>0</v>
      </c>
    </row>
    <row r="95" spans="1:4">
      <c r="D95" s="15"/>
    </row>
    <row r="96" spans="1:4">
      <c r="A96" s="13" t="s">
        <v>99</v>
      </c>
      <c r="B96" s="373" t="s">
        <v>92</v>
      </c>
      <c r="C96" s="390"/>
      <c r="D96" s="184" t="s">
        <v>24</v>
      </c>
    </row>
    <row r="97" spans="1:4" s="60" customFormat="1">
      <c r="A97" s="34" t="s">
        <v>3</v>
      </c>
      <c r="B97" s="407" t="s">
        <v>96</v>
      </c>
      <c r="C97" s="408"/>
      <c r="D97" s="120">
        <f>+'Calculo 5x2 12h Desar'!C234</f>
        <v>0</v>
      </c>
    </row>
    <row r="98" spans="1:4" s="60" customFormat="1" ht="29.25" customHeight="1">
      <c r="A98" s="34" t="s">
        <v>4</v>
      </c>
      <c r="B98" s="391" t="s">
        <v>98</v>
      </c>
      <c r="C98" s="392"/>
      <c r="D98" s="120">
        <f>ROUND(D97*C46,2)</f>
        <v>0</v>
      </c>
    </row>
    <row r="99" spans="1:4" s="60" customFormat="1" ht="28.5" customHeight="1">
      <c r="A99" s="34" t="s">
        <v>5</v>
      </c>
      <c r="B99" s="391" t="s">
        <v>97</v>
      </c>
      <c r="C99" s="392"/>
      <c r="D99" s="120">
        <f>+'Calculo 5x2 12h Desar'!C244</f>
        <v>0</v>
      </c>
    </row>
    <row r="100" spans="1:4">
      <c r="A100" s="6" t="s">
        <v>6</v>
      </c>
      <c r="B100" s="377" t="s">
        <v>36</v>
      </c>
      <c r="C100" s="378"/>
      <c r="D100" s="8"/>
    </row>
    <row r="101" spans="1:4">
      <c r="A101" s="380" t="s">
        <v>29</v>
      </c>
      <c r="B101" s="380"/>
      <c r="C101" s="380"/>
      <c r="D101" s="9">
        <f>SUM(D97:D100)</f>
        <v>0</v>
      </c>
    </row>
    <row r="102" spans="1:4">
      <c r="D102" s="15"/>
    </row>
    <row r="103" spans="1:4">
      <c r="A103" s="13" t="s">
        <v>91</v>
      </c>
      <c r="B103" s="380" t="s">
        <v>100</v>
      </c>
      <c r="C103" s="380"/>
      <c r="D103" s="184" t="s">
        <v>24</v>
      </c>
    </row>
    <row r="104" spans="1:4" s="50" customFormat="1" ht="35.25" customHeight="1">
      <c r="A104" s="108" t="s">
        <v>3</v>
      </c>
      <c r="B104" s="393" t="s">
        <v>288</v>
      </c>
      <c r="C104" s="393"/>
      <c r="D104" s="49"/>
    </row>
    <row r="105" spans="1:4">
      <c r="A105" s="380" t="s">
        <v>29</v>
      </c>
      <c r="B105" s="380"/>
      <c r="C105" s="380"/>
      <c r="D105" s="9">
        <f>SUM(D104:D104)</f>
        <v>0</v>
      </c>
    </row>
    <row r="107" spans="1:4">
      <c r="A107" s="186" t="s">
        <v>109</v>
      </c>
      <c r="B107" s="186"/>
      <c r="C107" s="186"/>
      <c r="D107" s="186"/>
    </row>
    <row r="108" spans="1:4">
      <c r="A108" s="6" t="s">
        <v>85</v>
      </c>
      <c r="B108" s="377" t="s">
        <v>86</v>
      </c>
      <c r="C108" s="378"/>
      <c r="D108" s="18">
        <f>+D94</f>
        <v>0</v>
      </c>
    </row>
    <row r="109" spans="1:4">
      <c r="A109" s="6" t="s">
        <v>99</v>
      </c>
      <c r="B109" s="377" t="s">
        <v>92</v>
      </c>
      <c r="C109" s="378"/>
      <c r="D109" s="18">
        <f>+D101</f>
        <v>0</v>
      </c>
    </row>
    <row r="110" spans="1:4">
      <c r="A110" s="74"/>
      <c r="B110" s="405" t="s">
        <v>110</v>
      </c>
      <c r="C110" s="406"/>
      <c r="D110" s="73">
        <f>+D109+D108</f>
        <v>0</v>
      </c>
    </row>
    <row r="111" spans="1:4">
      <c r="A111" s="6" t="s">
        <v>91</v>
      </c>
      <c r="B111" s="377" t="s">
        <v>100</v>
      </c>
      <c r="C111" s="378"/>
      <c r="D111" s="18">
        <f>+D105</f>
        <v>0</v>
      </c>
    </row>
    <row r="112" spans="1:4">
      <c r="A112" s="379" t="s">
        <v>29</v>
      </c>
      <c r="B112" s="379"/>
      <c r="C112" s="379"/>
      <c r="D112" s="71">
        <f>+D111+D110</f>
        <v>0</v>
      </c>
    </row>
    <row r="114" spans="1:4">
      <c r="A114" s="409" t="s">
        <v>151</v>
      </c>
      <c r="B114" s="409"/>
      <c r="C114" s="409"/>
      <c r="D114" s="409"/>
    </row>
    <row r="116" spans="1:4">
      <c r="A116" s="13">
        <v>5</v>
      </c>
      <c r="B116" s="373" t="s">
        <v>152</v>
      </c>
      <c r="C116" s="390"/>
      <c r="D116" s="184" t="s">
        <v>24</v>
      </c>
    </row>
    <row r="117" spans="1:4">
      <c r="A117" s="6" t="s">
        <v>3</v>
      </c>
      <c r="B117" s="323" t="s">
        <v>153</v>
      </c>
      <c r="C117" s="323"/>
      <c r="D117" s="8">
        <f>+Uniforme!G165</f>
        <v>0</v>
      </c>
    </row>
    <row r="118" spans="1:4">
      <c r="A118" s="6" t="s">
        <v>177</v>
      </c>
      <c r="B118" s="34" t="s">
        <v>178</v>
      </c>
      <c r="C118" s="29">
        <f>+$C$136+$C$137</f>
        <v>3.6499999999999998E-2</v>
      </c>
      <c r="D118" s="77">
        <f>+(C118*D117)*-1</f>
        <v>0</v>
      </c>
    </row>
    <row r="119" spans="1:4">
      <c r="A119" s="6" t="s">
        <v>4</v>
      </c>
      <c r="B119" s="323" t="s">
        <v>154</v>
      </c>
      <c r="C119" s="323"/>
      <c r="D119" s="8"/>
    </row>
    <row r="120" spans="1:4">
      <c r="A120" s="6" t="s">
        <v>41</v>
      </c>
      <c r="B120" s="34" t="s">
        <v>178</v>
      </c>
      <c r="C120" s="29">
        <f>+$C$136+$C$137</f>
        <v>3.6499999999999998E-2</v>
      </c>
      <c r="D120" s="77">
        <f>+(C120*D119)*-1</f>
        <v>0</v>
      </c>
    </row>
    <row r="121" spans="1:4">
      <c r="A121" s="6" t="s">
        <v>5</v>
      </c>
      <c r="B121" s="323" t="s">
        <v>155</v>
      </c>
      <c r="C121" s="323"/>
      <c r="D121" s="8">
        <f>+Uniforme!F172</f>
        <v>0</v>
      </c>
    </row>
    <row r="122" spans="1:4">
      <c r="A122" s="6" t="s">
        <v>161</v>
      </c>
      <c r="B122" s="34" t="s">
        <v>178</v>
      </c>
      <c r="C122" s="29">
        <f>+$C$136+$C$137</f>
        <v>3.6499999999999998E-2</v>
      </c>
      <c r="D122" s="77">
        <f>+(C122*D121)*-1</f>
        <v>0</v>
      </c>
    </row>
    <row r="123" spans="1:4">
      <c r="A123" s="6" t="s">
        <v>6</v>
      </c>
      <c r="B123" s="323" t="s">
        <v>36</v>
      </c>
      <c r="C123" s="323"/>
      <c r="D123" s="8"/>
    </row>
    <row r="124" spans="1:4">
      <c r="A124" s="6" t="s">
        <v>179</v>
      </c>
      <c r="B124" s="34" t="s">
        <v>178</v>
      </c>
      <c r="C124" s="29">
        <f>+$C$136+$C$137</f>
        <v>3.6499999999999998E-2</v>
      </c>
      <c r="D124" s="77">
        <f>+(C124*D123)*-1</f>
        <v>0</v>
      </c>
    </row>
    <row r="125" spans="1:4">
      <c r="A125" s="380" t="s">
        <v>29</v>
      </c>
      <c r="B125" s="380"/>
      <c r="C125" s="380"/>
      <c r="D125" s="9">
        <f>SUM(D117:D123)</f>
        <v>0</v>
      </c>
    </row>
    <row r="127" spans="1:4">
      <c r="A127" s="409" t="s">
        <v>156</v>
      </c>
      <c r="B127" s="409"/>
      <c r="C127" s="409"/>
      <c r="D127" s="409"/>
    </row>
    <row r="129" spans="1:4">
      <c r="A129" s="13">
        <v>6</v>
      </c>
      <c r="B129" s="14" t="s">
        <v>157</v>
      </c>
      <c r="C129" s="188" t="s">
        <v>50</v>
      </c>
      <c r="D129" s="184" t="s">
        <v>24</v>
      </c>
    </row>
    <row r="130" spans="1:4">
      <c r="A130" s="116" t="s">
        <v>3</v>
      </c>
      <c r="B130" s="116" t="s">
        <v>158</v>
      </c>
      <c r="C130" s="114">
        <v>0.03</v>
      </c>
      <c r="D130" s="301">
        <f>($D$125+$D$112+$D$80+$D$69+$D$24)*C130</f>
        <v>0</v>
      </c>
    </row>
    <row r="131" spans="1:4">
      <c r="A131" s="116" t="s">
        <v>4</v>
      </c>
      <c r="B131" s="116" t="s">
        <v>159</v>
      </c>
      <c r="C131" s="114">
        <v>0.03</v>
      </c>
      <c r="D131" s="301">
        <f>($D$125+$D$112+$D$80+$D$69+$D$24+D130)*C131</f>
        <v>0</v>
      </c>
    </row>
    <row r="132" spans="1:4" s="79" customFormat="1">
      <c r="A132" s="381" t="s">
        <v>181</v>
      </c>
      <c r="B132" s="382"/>
      <c r="C132" s="383"/>
      <c r="D132" s="81">
        <f>++D131+D130+D125+D112+D80+D69+D24</f>
        <v>0</v>
      </c>
    </row>
    <row r="133" spans="1:4" s="79" customFormat="1">
      <c r="A133" s="384" t="s">
        <v>182</v>
      </c>
      <c r="B133" s="385"/>
      <c r="C133" s="386"/>
      <c r="D133" s="81">
        <f>ROUND(D132/(1-(C136+C137+C139+C141+C142)),2)</f>
        <v>0</v>
      </c>
    </row>
    <row r="134" spans="1:4">
      <c r="A134" s="6" t="s">
        <v>5</v>
      </c>
      <c r="B134" s="6" t="s">
        <v>160</v>
      </c>
      <c r="C134" s="17"/>
      <c r="D134" s="6"/>
    </row>
    <row r="135" spans="1:4">
      <c r="A135" s="6" t="s">
        <v>161</v>
      </c>
      <c r="B135" s="6" t="s">
        <v>162</v>
      </c>
      <c r="C135" s="17"/>
      <c r="D135" s="6"/>
    </row>
    <row r="136" spans="1:4">
      <c r="A136" s="116" t="s">
        <v>163</v>
      </c>
      <c r="B136" s="116" t="s">
        <v>165</v>
      </c>
      <c r="C136" s="114">
        <v>6.4999999999999997E-3</v>
      </c>
      <c r="D136" s="301">
        <f>ROUND(C136*$D$133,2)</f>
        <v>0</v>
      </c>
    </row>
    <row r="137" spans="1:4">
      <c r="A137" s="116" t="s">
        <v>164</v>
      </c>
      <c r="B137" s="116" t="s">
        <v>166</v>
      </c>
      <c r="C137" s="114">
        <v>0.03</v>
      </c>
      <c r="D137" s="301">
        <f>ROUND(C137*$D$133,2)</f>
        <v>0</v>
      </c>
    </row>
    <row r="138" spans="1:4">
      <c r="A138" s="6" t="s">
        <v>167</v>
      </c>
      <c r="B138" s="6" t="s">
        <v>168</v>
      </c>
      <c r="C138" s="17"/>
      <c r="D138" s="18"/>
    </row>
    <row r="139" spans="1:4">
      <c r="A139" s="6" t="s">
        <v>170</v>
      </c>
      <c r="B139" s="6" t="s">
        <v>169</v>
      </c>
      <c r="C139" s="17"/>
      <c r="D139" s="6"/>
    </row>
    <row r="140" spans="1:4">
      <c r="A140" s="6" t="s">
        <v>171</v>
      </c>
      <c r="B140" s="6" t="s">
        <v>172</v>
      </c>
      <c r="C140" s="17"/>
      <c r="D140" s="6"/>
    </row>
    <row r="141" spans="1:4">
      <c r="A141" s="116" t="s">
        <v>173</v>
      </c>
      <c r="B141" s="116" t="s">
        <v>174</v>
      </c>
      <c r="C141" s="114">
        <v>0.05</v>
      </c>
      <c r="D141" s="301">
        <f>ROUND(C141*$D$133,2)</f>
        <v>0</v>
      </c>
    </row>
    <row r="142" spans="1:4">
      <c r="A142" s="6" t="s">
        <v>175</v>
      </c>
      <c r="B142" s="6" t="s">
        <v>176</v>
      </c>
      <c r="C142" s="17"/>
      <c r="D142" s="6"/>
    </row>
    <row r="143" spans="1:4">
      <c r="A143" s="373" t="s">
        <v>29</v>
      </c>
      <c r="B143" s="374"/>
      <c r="C143" s="80">
        <f>+C142+C141+C139+C137+C136+C131+C130</f>
        <v>0.14650000000000002</v>
      </c>
      <c r="D143" s="9">
        <f>+D141+D139+D137+D136+D131+D130</f>
        <v>0</v>
      </c>
    </row>
    <row r="145" spans="1:4">
      <c r="A145" s="437" t="s">
        <v>183</v>
      </c>
      <c r="B145" s="437"/>
      <c r="C145" s="437"/>
      <c r="D145" s="437"/>
    </row>
    <row r="146" spans="1:4">
      <c r="A146" s="6" t="s">
        <v>3</v>
      </c>
      <c r="B146" s="375" t="s">
        <v>185</v>
      </c>
      <c r="C146" s="375"/>
      <c r="D146" s="8">
        <f>+D24</f>
        <v>0</v>
      </c>
    </row>
    <row r="147" spans="1:4">
      <c r="A147" s="6" t="s">
        <v>184</v>
      </c>
      <c r="B147" s="375" t="s">
        <v>186</v>
      </c>
      <c r="C147" s="375"/>
      <c r="D147" s="8">
        <f>+D69</f>
        <v>0</v>
      </c>
    </row>
    <row r="148" spans="1:4">
      <c r="A148" s="6" t="s">
        <v>5</v>
      </c>
      <c r="B148" s="375" t="s">
        <v>187</v>
      </c>
      <c r="C148" s="375"/>
      <c r="D148" s="8">
        <f>+D80</f>
        <v>0</v>
      </c>
    </row>
    <row r="149" spans="1:4">
      <c r="A149" s="6" t="s">
        <v>6</v>
      </c>
      <c r="B149" s="375" t="s">
        <v>188</v>
      </c>
      <c r="C149" s="375"/>
      <c r="D149" s="8">
        <f>+D112</f>
        <v>0</v>
      </c>
    </row>
    <row r="150" spans="1:4">
      <c r="A150" s="6" t="s">
        <v>25</v>
      </c>
      <c r="B150" s="375" t="s">
        <v>189</v>
      </c>
      <c r="C150" s="375"/>
      <c r="D150" s="8">
        <f>+D125</f>
        <v>0</v>
      </c>
    </row>
    <row r="151" spans="1:4">
      <c r="B151" s="417" t="s">
        <v>192</v>
      </c>
      <c r="C151" s="417"/>
      <c r="D151" s="72">
        <f>SUM(D146:D150)</f>
        <v>0</v>
      </c>
    </row>
    <row r="152" spans="1:4">
      <c r="A152" s="6" t="s">
        <v>26</v>
      </c>
      <c r="B152" s="375" t="s">
        <v>190</v>
      </c>
      <c r="C152" s="375"/>
      <c r="D152" s="8">
        <f>+D143</f>
        <v>0</v>
      </c>
    </row>
    <row r="154" spans="1:4">
      <c r="A154" s="436" t="s">
        <v>191</v>
      </c>
      <c r="B154" s="436"/>
      <c r="C154" s="436"/>
      <c r="D154" s="82">
        <f>ROUND(+D152+D151,2)</f>
        <v>0</v>
      </c>
    </row>
    <row r="156" spans="1:4">
      <c r="A156" s="419" t="s">
        <v>77</v>
      </c>
      <c r="B156" s="419"/>
      <c r="C156" s="419"/>
      <c r="D156" s="419"/>
    </row>
    <row r="158" spans="1:4">
      <c r="A158" s="6" t="s">
        <v>3</v>
      </c>
      <c r="B158" s="6" t="s">
        <v>46</v>
      </c>
      <c r="C158" s="44" t="e">
        <f>+C30</f>
        <v>#DIV/0!</v>
      </c>
      <c r="D158" s="8">
        <f>+D30</f>
        <v>0</v>
      </c>
    </row>
    <row r="159" spans="1:4">
      <c r="A159" s="6" t="s">
        <v>4</v>
      </c>
      <c r="B159" s="6" t="s">
        <v>45</v>
      </c>
      <c r="C159" s="44" t="e">
        <f>+C32</f>
        <v>#DIV/0!</v>
      </c>
      <c r="D159" s="8">
        <f>+D32</f>
        <v>0</v>
      </c>
    </row>
    <row r="160" spans="1:4">
      <c r="A160" s="6" t="s">
        <v>5</v>
      </c>
      <c r="B160" s="6" t="s">
        <v>44</v>
      </c>
      <c r="C160" s="44" t="e">
        <f>+C33</f>
        <v>#DIV/0!</v>
      </c>
      <c r="D160" s="8">
        <f>+D33</f>
        <v>0</v>
      </c>
    </row>
    <row r="161" spans="1:5" ht="25.5">
      <c r="A161" s="6" t="s">
        <v>6</v>
      </c>
      <c r="B161" s="30" t="s">
        <v>75</v>
      </c>
      <c r="C161" s="17" t="e">
        <f>+C76</f>
        <v>#DIV/0!</v>
      </c>
      <c r="D161" s="8">
        <f>+D76</f>
        <v>0</v>
      </c>
    </row>
    <row r="162" spans="1:5" ht="25.5">
      <c r="A162" s="6" t="s">
        <v>25</v>
      </c>
      <c r="B162" s="30" t="s">
        <v>76</v>
      </c>
      <c r="C162" s="44" t="e">
        <f>+C79</f>
        <v>#DIV/0!</v>
      </c>
      <c r="D162" s="18">
        <f>+D79</f>
        <v>0</v>
      </c>
    </row>
    <row r="163" spans="1:5">
      <c r="A163" s="6" t="s">
        <v>81</v>
      </c>
      <c r="B163" s="34" t="s">
        <v>79</v>
      </c>
      <c r="C163" s="418" t="e">
        <f>+(D163+D164+D165)/D24</f>
        <v>#DIV/0!</v>
      </c>
      <c r="D163" s="8">
        <f>ROUND(D30*(SUM($C$38:$C$45)),2)</f>
        <v>0</v>
      </c>
    </row>
    <row r="164" spans="1:5">
      <c r="A164" s="6" t="s">
        <v>82</v>
      </c>
      <c r="B164" s="34" t="s">
        <v>78</v>
      </c>
      <c r="C164" s="418"/>
      <c r="D164" s="8">
        <f>ROUND(D32*(SUM($C$38:$C$45)),2)</f>
        <v>0</v>
      </c>
    </row>
    <row r="165" spans="1:5">
      <c r="A165" s="6" t="s">
        <v>83</v>
      </c>
      <c r="B165" s="34" t="s">
        <v>80</v>
      </c>
      <c r="C165" s="418"/>
      <c r="D165" s="8">
        <f>ROUND(D33*(SUM($C$38:$C$45)),2)</f>
        <v>0</v>
      </c>
    </row>
    <row r="166" spans="1:5">
      <c r="A166" s="388" t="s">
        <v>29</v>
      </c>
      <c r="B166" s="389"/>
      <c r="C166" s="420"/>
      <c r="D166" s="45">
        <f>SUM(D158:D165)</f>
        <v>0</v>
      </c>
    </row>
    <row r="167" spans="1:5">
      <c r="B167" s="96"/>
      <c r="C167" s="96"/>
      <c r="D167" s="96"/>
    </row>
    <row r="168" spans="1:5" s="67" customFormat="1" ht="45" customHeight="1">
      <c r="A168" s="414" t="s">
        <v>289</v>
      </c>
      <c r="B168" s="414"/>
      <c r="C168" s="414"/>
      <c r="D168" s="414"/>
      <c r="E168" s="128"/>
    </row>
    <row r="169" spans="1:5">
      <c r="A169" s="97"/>
      <c r="B169" s="97"/>
      <c r="C169" s="97"/>
      <c r="D169" s="97"/>
      <c r="E169" s="97"/>
    </row>
    <row r="170" spans="1:5" ht="44.25" customHeight="1">
      <c r="A170" s="415" t="s">
        <v>290</v>
      </c>
      <c r="B170" s="415"/>
      <c r="C170" s="415"/>
      <c r="D170" s="415"/>
      <c r="E170" s="97"/>
    </row>
    <row r="171" spans="1:5">
      <c r="A171" s="97"/>
      <c r="B171" s="97"/>
      <c r="C171" s="97"/>
      <c r="D171" s="97"/>
      <c r="E171" s="97"/>
    </row>
    <row r="172" spans="1:5">
      <c r="A172" s="97"/>
      <c r="B172" s="97"/>
      <c r="C172" s="97"/>
      <c r="D172" s="97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  <row r="184" spans="1:5">
      <c r="A184" s="97"/>
      <c r="B184" s="97"/>
      <c r="C184" s="97"/>
      <c r="D184" s="97"/>
      <c r="E184" s="97"/>
    </row>
  </sheetData>
  <mergeCells count="84">
    <mergeCell ref="C7:D7"/>
    <mergeCell ref="A1:D1"/>
    <mergeCell ref="A3:D3"/>
    <mergeCell ref="C4:D4"/>
    <mergeCell ref="C5:D5"/>
    <mergeCell ref="C6:D6"/>
    <mergeCell ref="A24:C24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B23:C23"/>
    <mergeCell ref="B68:C68"/>
    <mergeCell ref="A26:D26"/>
    <mergeCell ref="A28:D28"/>
    <mergeCell ref="A34:C34"/>
    <mergeCell ref="A36:D36"/>
    <mergeCell ref="A48:D48"/>
    <mergeCell ref="B60:C60"/>
    <mergeCell ref="A62:B62"/>
    <mergeCell ref="A64:D64"/>
    <mergeCell ref="B65:C65"/>
    <mergeCell ref="B66:C66"/>
    <mergeCell ref="B67:C67"/>
    <mergeCell ref="B91:C91"/>
    <mergeCell ref="A69:C69"/>
    <mergeCell ref="A71:D71"/>
    <mergeCell ref="A80:C80"/>
    <mergeCell ref="A82:D82"/>
    <mergeCell ref="A84:D84"/>
    <mergeCell ref="B85:C85"/>
    <mergeCell ref="B86:C86"/>
    <mergeCell ref="B87:C87"/>
    <mergeCell ref="B88:C88"/>
    <mergeCell ref="B89:C89"/>
    <mergeCell ref="B90:C90"/>
    <mergeCell ref="A105:C105"/>
    <mergeCell ref="B92:C92"/>
    <mergeCell ref="B93:C93"/>
    <mergeCell ref="A94:C94"/>
    <mergeCell ref="B96:C96"/>
    <mergeCell ref="B97:C97"/>
    <mergeCell ref="B98:C98"/>
    <mergeCell ref="B99:C99"/>
    <mergeCell ref="B100:C100"/>
    <mergeCell ref="A101:C101"/>
    <mergeCell ref="B103:C103"/>
    <mergeCell ref="B104:C104"/>
    <mergeCell ref="A125:C125"/>
    <mergeCell ref="B108:C108"/>
    <mergeCell ref="B109:C109"/>
    <mergeCell ref="B110:C110"/>
    <mergeCell ref="B111:C111"/>
    <mergeCell ref="A112:C112"/>
    <mergeCell ref="A114:D114"/>
    <mergeCell ref="B116:C116"/>
    <mergeCell ref="B117:C117"/>
    <mergeCell ref="B119:C119"/>
    <mergeCell ref="B121:C121"/>
    <mergeCell ref="B123:C123"/>
    <mergeCell ref="B152:C152"/>
    <mergeCell ref="A127:D127"/>
    <mergeCell ref="A132:C132"/>
    <mergeCell ref="A133:C133"/>
    <mergeCell ref="A143:B143"/>
    <mergeCell ref="A145:D145"/>
    <mergeCell ref="B146:C146"/>
    <mergeCell ref="B147:C147"/>
    <mergeCell ref="B148:C148"/>
    <mergeCell ref="B149:C149"/>
    <mergeCell ref="B150:C150"/>
    <mergeCell ref="B151:C151"/>
    <mergeCell ref="A170:D170"/>
    <mergeCell ref="A154:C154"/>
    <mergeCell ref="A156:D156"/>
    <mergeCell ref="C163:C165"/>
    <mergeCell ref="A166:C166"/>
    <mergeCell ref="A168:D168"/>
  </mergeCells>
  <pageMargins left="1.0629921259842521" right="0.51181102362204722" top="0.38" bottom="0.55000000000000004" header="0.31496062992125984" footer="0.31496062992125984"/>
  <pageSetup paperSize="9" scale="90" orientation="portrait" r:id="rId1"/>
  <headerFoot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D244"/>
  <sheetViews>
    <sheetView workbookViewId="0">
      <selection activeCell="A27" sqref="A27"/>
    </sheetView>
  </sheetViews>
  <sheetFormatPr defaultRowHeight="12.75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36" customHeight="1">
      <c r="A1" s="474" t="s">
        <v>362</v>
      </c>
      <c r="B1" s="474"/>
      <c r="C1" s="474"/>
    </row>
    <row r="3" spans="1:3">
      <c r="A3" s="6" t="s">
        <v>346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(365.25/12)/(7/5)</f>
        <v>21.741071428571431</v>
      </c>
    </row>
    <row r="6" spans="1:3">
      <c r="A6" s="34" t="s">
        <v>30</v>
      </c>
      <c r="B6" s="18">
        <f>+'Vigilante 5x2 12h Desar'!D12</f>
        <v>0</v>
      </c>
    </row>
    <row r="7" spans="1:3">
      <c r="A7" s="34" t="s">
        <v>241</v>
      </c>
      <c r="B7" s="18">
        <f>+'Vigilante 5x2 12h Desar'!D24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5x2 12h Desar'!D12</f>
        <v>0</v>
      </c>
    </row>
    <row r="11" spans="1:3">
      <c r="A11" s="6" t="s">
        <v>31</v>
      </c>
      <c r="B11" s="52"/>
      <c r="C11" s="90">
        <f>+'Vigilante 5x2 12h Desar'!D13</f>
        <v>0</v>
      </c>
    </row>
    <row r="12" spans="1:3">
      <c r="A12" s="6" t="s">
        <v>32</v>
      </c>
      <c r="B12" s="52"/>
      <c r="C12" s="90">
        <f>+'Vigilante 5x2 12h Desar'!D14</f>
        <v>0</v>
      </c>
    </row>
    <row r="13" spans="1:3">
      <c r="A13" s="6" t="s">
        <v>33</v>
      </c>
      <c r="B13" s="52"/>
      <c r="C13" s="90">
        <f>+'Vigilante 5x2 12h Desar'!D15</f>
        <v>0</v>
      </c>
    </row>
    <row r="14" spans="1:3">
      <c r="A14" s="6" t="s">
        <v>34</v>
      </c>
      <c r="B14" s="52"/>
      <c r="C14" s="90">
        <f>+'Vigilante 5x2 12h Desar'!D16</f>
        <v>0</v>
      </c>
    </row>
    <row r="15" spans="1:3">
      <c r="A15" t="s">
        <v>65</v>
      </c>
      <c r="B15" s="52"/>
      <c r="C15" s="90">
        <f>+'Vigilante 5x2 12h Desar'!D20</f>
        <v>0</v>
      </c>
    </row>
    <row r="16" spans="1:3">
      <c r="A16" s="6" t="s">
        <v>345</v>
      </c>
      <c r="B16" s="52"/>
      <c r="C16" s="90">
        <f>+'Vigilante 5x2 12h Desar'!D22</f>
        <v>0</v>
      </c>
    </row>
    <row r="17" spans="1:3">
      <c r="A17" s="35" t="s">
        <v>193</v>
      </c>
      <c r="B17" s="101"/>
      <c r="C17" s="102">
        <f>SUM(C10:C16)</f>
        <v>0</v>
      </c>
    </row>
    <row r="18" spans="1:3">
      <c r="A18" s="6" t="s">
        <v>102</v>
      </c>
      <c r="B18" s="57">
        <f>+B3</f>
        <v>220</v>
      </c>
      <c r="C18" s="54"/>
    </row>
    <row r="19" spans="1:3">
      <c r="A19" s="35" t="s">
        <v>103</v>
      </c>
      <c r="B19" s="101"/>
      <c r="C19" s="36">
        <f>+C17/B18</f>
        <v>0</v>
      </c>
    </row>
    <row r="20" spans="1:3">
      <c r="A20" s="6" t="s">
        <v>197</v>
      </c>
      <c r="B20" s="6">
        <v>12</v>
      </c>
      <c r="C20" s="54"/>
    </row>
    <row r="21" spans="1:3">
      <c r="A21" s="6" t="s">
        <v>198</v>
      </c>
      <c r="B21" s="6">
        <v>10.8</v>
      </c>
      <c r="C21" s="54"/>
    </row>
    <row r="22" spans="1:3">
      <c r="A22" s="6" t="s">
        <v>199</v>
      </c>
      <c r="B22" s="6">
        <f>+B21*B20</f>
        <v>129.60000000000002</v>
      </c>
      <c r="C22" s="8">
        <f>+B22*C19</f>
        <v>0</v>
      </c>
    </row>
    <row r="23" spans="1:3">
      <c r="A23" s="6" t="s">
        <v>200</v>
      </c>
      <c r="B23" s="17">
        <v>1</v>
      </c>
      <c r="C23" s="8">
        <f>+B23*C22</f>
        <v>0</v>
      </c>
    </row>
    <row r="24" spans="1:3">
      <c r="A24" s="6" t="s">
        <v>201</v>
      </c>
      <c r="B24" s="17">
        <v>1</v>
      </c>
      <c r="C24" s="8">
        <f>+B24*C23</f>
        <v>0</v>
      </c>
    </row>
    <row r="25" spans="1:3">
      <c r="A25" s="6" t="s">
        <v>202</v>
      </c>
      <c r="B25" s="6">
        <v>12</v>
      </c>
      <c r="C25" s="91"/>
    </row>
    <row r="26" spans="1:3">
      <c r="A26" s="431" t="s">
        <v>203</v>
      </c>
      <c r="B26" s="432"/>
      <c r="C26" s="45">
        <f>+C24/B25</f>
        <v>0</v>
      </c>
    </row>
    <row r="27" spans="1:3">
      <c r="C27" s="15"/>
    </row>
    <row r="28" spans="1:3">
      <c r="A28" s="434" t="s">
        <v>210</v>
      </c>
      <c r="B28" s="434"/>
      <c r="C28" s="434"/>
    </row>
    <row r="29" spans="1:3">
      <c r="A29" s="6" t="s">
        <v>103</v>
      </c>
      <c r="B29" s="52"/>
      <c r="C29" s="90">
        <f>+C19</f>
        <v>0</v>
      </c>
    </row>
    <row r="30" spans="1:3">
      <c r="A30" s="6" t="s">
        <v>199</v>
      </c>
      <c r="B30" s="6">
        <v>192</v>
      </c>
      <c r="C30" s="54"/>
    </row>
    <row r="31" spans="1:3">
      <c r="A31" s="6" t="s">
        <v>204</v>
      </c>
      <c r="B31" s="6">
        <f>+$B$4</f>
        <v>365.25</v>
      </c>
      <c r="C31" s="54"/>
    </row>
    <row r="32" spans="1:3">
      <c r="A32" s="6" t="s">
        <v>197</v>
      </c>
      <c r="B32" s="6">
        <v>12</v>
      </c>
      <c r="C32" s="54"/>
    </row>
    <row r="33" spans="1:3">
      <c r="A33" s="6" t="s">
        <v>200</v>
      </c>
      <c r="B33" s="17">
        <v>1</v>
      </c>
      <c r="C33" s="54"/>
    </row>
    <row r="34" spans="1:3">
      <c r="A34" s="6" t="s">
        <v>205</v>
      </c>
      <c r="B34" s="92">
        <f>ROUND(((B31/7)*6)-B32,2)</f>
        <v>301.07</v>
      </c>
      <c r="C34" s="54"/>
    </row>
    <row r="35" spans="1:3">
      <c r="A35" s="6" t="s">
        <v>206</v>
      </c>
      <c r="B35" s="34">
        <v>12</v>
      </c>
      <c r="C35" s="54"/>
    </row>
    <row r="36" spans="1:3" ht="25.5">
      <c r="A36" s="30" t="s">
        <v>207</v>
      </c>
      <c r="B36" s="6">
        <f>+((B30/B35)*B33)/B34</f>
        <v>5.3143787159132427E-2</v>
      </c>
      <c r="C36" s="54"/>
    </row>
    <row r="37" spans="1:3">
      <c r="A37" s="24" t="s">
        <v>208</v>
      </c>
      <c r="B37" s="24"/>
      <c r="C37" s="45">
        <f>+C29*(B31-B34)*B36</f>
        <v>0</v>
      </c>
    </row>
    <row r="38" spans="1:3">
      <c r="C38" s="15"/>
    </row>
    <row r="39" spans="1:3">
      <c r="A39" s="434" t="s">
        <v>344</v>
      </c>
      <c r="B39" s="434"/>
      <c r="C39" s="434"/>
    </row>
    <row r="40" spans="1:3">
      <c r="A40" s="6" t="s">
        <v>30</v>
      </c>
      <c r="B40" s="52"/>
      <c r="C40" s="90">
        <f>+B6</f>
        <v>0</v>
      </c>
    </row>
    <row r="41" spans="1:3">
      <c r="A41" s="6" t="s">
        <v>102</v>
      </c>
      <c r="B41" s="57">
        <f>+B3</f>
        <v>220</v>
      </c>
      <c r="C41" s="54"/>
    </row>
    <row r="42" spans="1:3">
      <c r="A42" s="35" t="s">
        <v>103</v>
      </c>
      <c r="B42" s="101"/>
      <c r="C42" s="36">
        <f>+C40/B41</f>
        <v>0</v>
      </c>
    </row>
    <row r="43" spans="1:3" s="60" customFormat="1">
      <c r="A43" s="6" t="s">
        <v>352</v>
      </c>
      <c r="B43" s="17">
        <v>0.5</v>
      </c>
      <c r="C43" s="182"/>
    </row>
    <row r="44" spans="1:3" s="60" customFormat="1">
      <c r="A44" s="35" t="s">
        <v>353</v>
      </c>
      <c r="B44" s="104"/>
      <c r="C44" s="182">
        <f>+C42*(1+B43)</f>
        <v>0</v>
      </c>
    </row>
    <row r="45" spans="1:3">
      <c r="A45" s="34" t="s">
        <v>347</v>
      </c>
      <c r="B45" s="6">
        <v>10.8</v>
      </c>
      <c r="C45" s="54"/>
    </row>
    <row r="46" spans="1:3">
      <c r="A46" s="6" t="s">
        <v>230</v>
      </c>
      <c r="B46" s="181">
        <f>+B5</f>
        <v>21.741071428571431</v>
      </c>
      <c r="C46" s="54"/>
    </row>
    <row r="47" spans="1:3">
      <c r="A47" s="34" t="s">
        <v>348</v>
      </c>
      <c r="B47" s="6">
        <v>192</v>
      </c>
      <c r="C47" s="54"/>
    </row>
    <row r="48" spans="1:3">
      <c r="A48" s="34" t="s">
        <v>349</v>
      </c>
      <c r="B48" s="6">
        <f>ROUND(+B46*B45,2)</f>
        <v>234.8</v>
      </c>
      <c r="C48" s="54"/>
    </row>
    <row r="49" spans="1:3">
      <c r="A49" s="34" t="s">
        <v>350</v>
      </c>
      <c r="B49" s="6">
        <f>+B48-B47</f>
        <v>42.800000000000011</v>
      </c>
      <c r="C49" s="54"/>
    </row>
    <row r="50" spans="1:3">
      <c r="A50" s="24" t="s">
        <v>351</v>
      </c>
      <c r="B50" s="24"/>
      <c r="C50" s="45">
        <f>+B49*C44</f>
        <v>0</v>
      </c>
    </row>
    <row r="51" spans="1:3">
      <c r="C51" s="15"/>
    </row>
    <row r="52" spans="1:3">
      <c r="A52" s="419" t="s">
        <v>107</v>
      </c>
      <c r="B52" s="419"/>
      <c r="C52" s="419"/>
    </row>
    <row r="53" spans="1:3">
      <c r="A53" s="55" t="s">
        <v>30</v>
      </c>
      <c r="B53" s="86"/>
      <c r="C53" s="56">
        <f>+'Vigilante 5x2 12h Desar'!D12</f>
        <v>0</v>
      </c>
    </row>
    <row r="54" spans="1:3">
      <c r="A54" s="55" t="s">
        <v>31</v>
      </c>
      <c r="B54" s="58"/>
      <c r="C54" s="56">
        <f>+'Vigilante 5x2 12h Desar'!D13</f>
        <v>0</v>
      </c>
    </row>
    <row r="55" spans="1:3">
      <c r="A55" s="55" t="s">
        <v>32</v>
      </c>
      <c r="B55" s="58"/>
      <c r="C55" s="56">
        <f>+'Vigilante 5x2 12h Desar'!D14</f>
        <v>0</v>
      </c>
    </row>
    <row r="56" spans="1:3">
      <c r="A56" s="55" t="s">
        <v>33</v>
      </c>
      <c r="B56" s="58"/>
      <c r="C56" s="56">
        <f>+'Vigilante 5x2 12h Desar'!D15</f>
        <v>0</v>
      </c>
    </row>
    <row r="57" spans="1:3">
      <c r="A57" s="55" t="s">
        <v>34</v>
      </c>
      <c r="B57" s="58"/>
      <c r="C57" s="56">
        <f>+'Vigilante 5x2 12h Desar'!D16</f>
        <v>0</v>
      </c>
    </row>
    <row r="58" spans="1:3">
      <c r="A58" s="55" t="s">
        <v>35</v>
      </c>
      <c r="B58" s="58"/>
      <c r="C58" s="56">
        <f>+'Vigilante 5x2 12h Desar'!D18</f>
        <v>0</v>
      </c>
    </row>
    <row r="59" spans="1:3">
      <c r="A59" s="55" t="s">
        <v>65</v>
      </c>
      <c r="B59" s="58"/>
      <c r="C59" s="56">
        <f>+'Vigilante 5x2 12h Desar'!D20</f>
        <v>0</v>
      </c>
    </row>
    <row r="60" spans="1:3">
      <c r="A60" s="35" t="s">
        <v>101</v>
      </c>
      <c r="B60" s="99"/>
      <c r="C60" s="100">
        <f>SUM(C53:C59)</f>
        <v>0</v>
      </c>
    </row>
    <row r="61" spans="1:3">
      <c r="A61" s="6" t="s">
        <v>102</v>
      </c>
      <c r="B61" s="57">
        <f>+B3</f>
        <v>220</v>
      </c>
      <c r="C61" s="58"/>
    </row>
    <row r="62" spans="1:3">
      <c r="A62" s="6" t="s">
        <v>103</v>
      </c>
      <c r="B62" s="58"/>
      <c r="C62" s="59">
        <f>ROUND(+C60/B61,2)</f>
        <v>0</v>
      </c>
    </row>
    <row r="63" spans="1:3">
      <c r="A63" s="6" t="s">
        <v>229</v>
      </c>
      <c r="B63" s="51">
        <f>(365.25/12)/(7/5)</f>
        <v>21.741071428571431</v>
      </c>
      <c r="C63" s="58"/>
    </row>
    <row r="64" spans="1:3">
      <c r="A64" s="6" t="s">
        <v>105</v>
      </c>
      <c r="B64" s="17">
        <v>0.5</v>
      </c>
      <c r="C64" s="6"/>
    </row>
    <row r="65" spans="1:3">
      <c r="A65" s="431" t="s">
        <v>106</v>
      </c>
      <c r="B65" s="432"/>
      <c r="C65" s="45">
        <f>ROUND((B63*C62)*(1+B64),2)</f>
        <v>0</v>
      </c>
    </row>
    <row r="67" spans="1:3">
      <c r="A67" s="419" t="s">
        <v>212</v>
      </c>
      <c r="B67" s="419"/>
      <c r="C67" s="419"/>
    </row>
    <row r="68" spans="1:3">
      <c r="A68" s="6" t="s">
        <v>204</v>
      </c>
      <c r="B68" s="6">
        <v>365.25</v>
      </c>
      <c r="C68" s="52"/>
    </row>
    <row r="69" spans="1:3">
      <c r="A69" s="6" t="s">
        <v>206</v>
      </c>
      <c r="B69" s="34">
        <v>12</v>
      </c>
      <c r="C69" s="52"/>
    </row>
    <row r="70" spans="1:3">
      <c r="A70" s="6" t="s">
        <v>213</v>
      </c>
      <c r="B70" s="17">
        <v>1</v>
      </c>
      <c r="C70" s="52"/>
    </row>
    <row r="71" spans="1:3">
      <c r="A71" s="103" t="s">
        <v>388</v>
      </c>
      <c r="B71" s="34">
        <v>7</v>
      </c>
      <c r="C71" s="52"/>
    </row>
    <row r="72" spans="1:3">
      <c r="A72" s="34" t="s">
        <v>214</v>
      </c>
      <c r="B72" s="52"/>
      <c r="C72" s="18">
        <f>+'Vigilante 5x2 12h Desar'!$D$12</f>
        <v>0</v>
      </c>
    </row>
    <row r="73" spans="1:3">
      <c r="A73" s="34" t="s">
        <v>31</v>
      </c>
      <c r="B73" s="52"/>
      <c r="C73" s="18">
        <f>+'Vigilante 5x2 12h Desar'!$D$13</f>
        <v>0</v>
      </c>
    </row>
    <row r="74" spans="1:3">
      <c r="A74" s="34" t="s">
        <v>32</v>
      </c>
      <c r="B74" s="52"/>
      <c r="C74" s="18">
        <f>+'Vigilante 5x2 12h Desar'!$D$14</f>
        <v>0</v>
      </c>
    </row>
    <row r="75" spans="1:3">
      <c r="A75" s="104" t="s">
        <v>193</v>
      </c>
      <c r="B75" s="52"/>
      <c r="C75" s="105">
        <f>SUM(C72:C74)</f>
        <v>0</v>
      </c>
    </row>
    <row r="76" spans="1:3">
      <c r="A76" s="6" t="s">
        <v>102</v>
      </c>
      <c r="B76" s="106">
        <f>+B3</f>
        <v>220</v>
      </c>
      <c r="C76" s="52"/>
    </row>
    <row r="77" spans="1:3">
      <c r="A77" s="34" t="s">
        <v>215</v>
      </c>
      <c r="B77" s="17">
        <v>0.2</v>
      </c>
      <c r="C77" s="52"/>
    </row>
    <row r="78" spans="1:3">
      <c r="A78" s="34" t="s">
        <v>216</v>
      </c>
      <c r="B78" s="52"/>
      <c r="C78" s="8">
        <f>ROUND((C75/B76)*B77,2)</f>
        <v>0</v>
      </c>
    </row>
    <row r="79" spans="1:3">
      <c r="A79" s="34" t="s">
        <v>217</v>
      </c>
      <c r="B79" s="6">
        <f>ROUND(+B68/B69*B70*B71,0)</f>
        <v>213</v>
      </c>
      <c r="C79" s="53"/>
    </row>
    <row r="80" spans="1:3">
      <c r="A80" s="435" t="s">
        <v>218</v>
      </c>
      <c r="B80" s="435"/>
      <c r="C80" s="32">
        <f>ROUND(+B79*C78,2)</f>
        <v>0</v>
      </c>
    </row>
    <row r="82" spans="1:4">
      <c r="A82" s="434" t="s">
        <v>232</v>
      </c>
      <c r="B82" s="434"/>
      <c r="C82" s="434"/>
    </row>
    <row r="83" spans="1:4">
      <c r="A83" s="6" t="s">
        <v>103</v>
      </c>
      <c r="B83" s="52"/>
      <c r="C83" s="90">
        <f>+C80</f>
        <v>0</v>
      </c>
    </row>
    <row r="84" spans="1:4">
      <c r="A84" s="6" t="s">
        <v>199</v>
      </c>
      <c r="B84" s="6">
        <v>192</v>
      </c>
      <c r="C84" s="54"/>
    </row>
    <row r="85" spans="1:4">
      <c r="A85" s="6" t="s">
        <v>204</v>
      </c>
      <c r="B85" s="6">
        <f>+$B$4</f>
        <v>365.25</v>
      </c>
      <c r="C85" s="54"/>
    </row>
    <row r="86" spans="1:4">
      <c r="A86" s="6" t="s">
        <v>197</v>
      </c>
      <c r="B86" s="6">
        <v>12</v>
      </c>
      <c r="C86" s="54"/>
    </row>
    <row r="87" spans="1:4">
      <c r="A87" s="6" t="s">
        <v>200</v>
      </c>
      <c r="B87" s="17">
        <v>1</v>
      </c>
      <c r="C87" s="54"/>
    </row>
    <row r="88" spans="1:4">
      <c r="A88" s="6" t="s">
        <v>205</v>
      </c>
      <c r="B88" s="92">
        <f>ROUND(((B85/7)*6)-B86,2)</f>
        <v>301.07</v>
      </c>
      <c r="C88" s="54"/>
    </row>
    <row r="89" spans="1:4">
      <c r="A89" s="6" t="s">
        <v>206</v>
      </c>
      <c r="B89" s="34">
        <v>12</v>
      </c>
      <c r="C89" s="54"/>
    </row>
    <row r="90" spans="1:4" ht="25.5">
      <c r="A90" s="30" t="s">
        <v>207</v>
      </c>
      <c r="B90" s="6">
        <f>+((B84/B89)*B87)/B88</f>
        <v>5.3143787159132427E-2</v>
      </c>
      <c r="C90" s="54"/>
    </row>
    <row r="91" spans="1:4">
      <c r="A91" s="24" t="s">
        <v>208</v>
      </c>
      <c r="B91" s="24"/>
      <c r="C91" s="45">
        <f>+C83/B84*(B85-B88)*B90</f>
        <v>0</v>
      </c>
    </row>
    <row r="93" spans="1:4">
      <c r="A93" s="419" t="s">
        <v>219</v>
      </c>
      <c r="B93" s="419"/>
      <c r="C93" s="419"/>
    </row>
    <row r="94" spans="1:4">
      <c r="A94" s="6" t="s">
        <v>204</v>
      </c>
      <c r="B94" s="6">
        <f>+$B$4</f>
        <v>365.25</v>
      </c>
      <c r="C94" s="52"/>
    </row>
    <row r="95" spans="1:4">
      <c r="A95" s="6" t="s">
        <v>206</v>
      </c>
      <c r="B95" s="34">
        <v>12</v>
      </c>
      <c r="C95" s="52"/>
    </row>
    <row r="96" spans="1:4">
      <c r="A96" s="6" t="s">
        <v>213</v>
      </c>
      <c r="B96" s="17">
        <v>1</v>
      </c>
      <c r="C96" s="52"/>
      <c r="D96" s="109"/>
    </row>
    <row r="97" spans="1:4">
      <c r="A97" s="103" t="s">
        <v>388</v>
      </c>
      <c r="B97" s="34">
        <v>7</v>
      </c>
      <c r="C97" s="52"/>
      <c r="D97" s="109"/>
    </row>
    <row r="98" spans="1:4">
      <c r="A98" s="34" t="s">
        <v>220</v>
      </c>
      <c r="B98" s="51">
        <f>(365.25/12)/(7/5)</f>
        <v>21.741071428571431</v>
      </c>
      <c r="C98" s="6"/>
      <c r="D98" s="109"/>
    </row>
    <row r="99" spans="1:4">
      <c r="A99" s="34" t="s">
        <v>221</v>
      </c>
      <c r="B99" s="6">
        <f>ROUND(+B98*B97,2)</f>
        <v>152.19</v>
      </c>
      <c r="C99" s="6"/>
    </row>
    <row r="100" spans="1:4">
      <c r="A100" s="34" t="s">
        <v>214</v>
      </c>
      <c r="B100" s="52"/>
      <c r="C100" s="18">
        <f>+'Vigilante 5x2 12h Desar'!$D$12</f>
        <v>0</v>
      </c>
    </row>
    <row r="101" spans="1:4">
      <c r="A101" s="34" t="s">
        <v>31</v>
      </c>
      <c r="B101" s="52"/>
      <c r="C101" s="18">
        <f>+'Vigilante 5x2 12h Desar'!$D$13</f>
        <v>0</v>
      </c>
    </row>
    <row r="102" spans="1:4">
      <c r="A102" s="34" t="s">
        <v>32</v>
      </c>
      <c r="B102" s="52"/>
      <c r="C102" s="18">
        <f>+'Vigilante 5x2 12h Desar'!$D$14</f>
        <v>0</v>
      </c>
    </row>
    <row r="103" spans="1:4">
      <c r="A103" s="104" t="s">
        <v>193</v>
      </c>
      <c r="B103" s="52"/>
      <c r="C103" s="105">
        <f>SUM(C100:C102)</f>
        <v>0</v>
      </c>
      <c r="D103" s="88"/>
    </row>
    <row r="104" spans="1:4">
      <c r="A104" s="6" t="s">
        <v>102</v>
      </c>
      <c r="B104" s="106">
        <f>+B3</f>
        <v>220</v>
      </c>
      <c r="C104" s="52"/>
    </row>
    <row r="105" spans="1:4">
      <c r="A105" s="34" t="s">
        <v>215</v>
      </c>
      <c r="B105" s="17">
        <v>0.2</v>
      </c>
      <c r="C105" s="52"/>
    </row>
    <row r="106" spans="1:4">
      <c r="A106" s="34" t="s">
        <v>216</v>
      </c>
      <c r="B106" s="52"/>
      <c r="C106" s="8">
        <f>ROUND((C103/B104)*B105,2)</f>
        <v>0</v>
      </c>
    </row>
    <row r="107" spans="1:4">
      <c r="A107" s="34" t="s">
        <v>223</v>
      </c>
      <c r="B107" s="6">
        <v>60</v>
      </c>
      <c r="C107" s="52"/>
    </row>
    <row r="108" spans="1:4">
      <c r="A108" s="34" t="s">
        <v>222</v>
      </c>
      <c r="B108" s="6">
        <v>52.5</v>
      </c>
      <c r="C108" s="52"/>
    </row>
    <row r="109" spans="1:4">
      <c r="A109" s="34" t="s">
        <v>224</v>
      </c>
      <c r="B109" s="6">
        <f>+B107/B108</f>
        <v>1.1428571428571428</v>
      </c>
      <c r="C109" s="52"/>
    </row>
    <row r="110" spans="1:4">
      <c r="A110" s="34" t="s">
        <v>225</v>
      </c>
      <c r="B110" s="6">
        <f>ROUND(+B109*B99,2)</f>
        <v>173.93</v>
      </c>
      <c r="C110" s="52"/>
    </row>
    <row r="111" spans="1:4">
      <c r="A111" s="34" t="s">
        <v>226</v>
      </c>
      <c r="B111" s="6">
        <f>ROUND(B110-B99,2)</f>
        <v>21.74</v>
      </c>
      <c r="C111" s="53"/>
    </row>
    <row r="112" spans="1:4">
      <c r="A112" s="379" t="s">
        <v>227</v>
      </c>
      <c r="B112" s="379"/>
      <c r="C112" s="71">
        <f>+B111*C106</f>
        <v>0</v>
      </c>
    </row>
    <row r="114" spans="1:3">
      <c r="A114" s="419" t="s">
        <v>233</v>
      </c>
      <c r="B114" s="419"/>
      <c r="C114" s="419"/>
    </row>
    <row r="115" spans="1:3">
      <c r="A115" s="6" t="s">
        <v>204</v>
      </c>
      <c r="B115" s="6">
        <f>+$B$4</f>
        <v>365.25</v>
      </c>
      <c r="C115" s="52"/>
    </row>
    <row r="116" spans="1:3">
      <c r="A116" s="6" t="s">
        <v>206</v>
      </c>
      <c r="B116" s="34">
        <v>12</v>
      </c>
      <c r="C116" s="52"/>
    </row>
    <row r="117" spans="1:3">
      <c r="A117" s="6" t="s">
        <v>213</v>
      </c>
      <c r="B117" s="17">
        <v>1</v>
      </c>
      <c r="C117" s="52"/>
    </row>
    <row r="118" spans="1:3">
      <c r="A118" s="34" t="s">
        <v>234</v>
      </c>
      <c r="B118" s="181">
        <f>+B5</f>
        <v>21.741071428571431</v>
      </c>
      <c r="C118" s="52"/>
    </row>
    <row r="119" spans="1:3">
      <c r="A119" s="198" t="s">
        <v>235</v>
      </c>
      <c r="B119" s="199"/>
      <c r="C119" s="52"/>
    </row>
    <row r="120" spans="1:3">
      <c r="A120" s="6" t="s">
        <v>236</v>
      </c>
      <c r="B120" s="17">
        <v>0.06</v>
      </c>
      <c r="C120" s="52"/>
    </row>
    <row r="121" spans="1:3">
      <c r="A121" s="431" t="s">
        <v>237</v>
      </c>
      <c r="B121" s="432"/>
      <c r="C121" s="45">
        <f>ROUND((B118*(B119*2)-($B$6*B120)),2)</f>
        <v>0</v>
      </c>
    </row>
    <row r="123" spans="1:3">
      <c r="A123" s="419" t="s">
        <v>238</v>
      </c>
      <c r="B123" s="419"/>
      <c r="C123" s="419"/>
    </row>
    <row r="124" spans="1:3">
      <c r="A124" s="6" t="s">
        <v>204</v>
      </c>
      <c r="B124" s="6">
        <f>+$B$4</f>
        <v>365.25</v>
      </c>
      <c r="C124" s="52"/>
    </row>
    <row r="125" spans="1:3">
      <c r="A125" s="6" t="s">
        <v>206</v>
      </c>
      <c r="B125" s="34">
        <v>12</v>
      </c>
      <c r="C125" s="52"/>
    </row>
    <row r="126" spans="1:3">
      <c r="A126" s="6" t="s">
        <v>213</v>
      </c>
      <c r="B126" s="17">
        <v>1</v>
      </c>
      <c r="C126" s="52"/>
    </row>
    <row r="127" spans="1:3">
      <c r="A127" s="34" t="s">
        <v>234</v>
      </c>
      <c r="B127" s="181">
        <f>+B5</f>
        <v>21.741071428571431</v>
      </c>
      <c r="C127" s="52"/>
    </row>
    <row r="128" spans="1:3">
      <c r="A128" s="198" t="s">
        <v>239</v>
      </c>
      <c r="B128" s="199"/>
      <c r="C128" s="52"/>
    </row>
    <row r="129" spans="1:3">
      <c r="A129" s="6" t="s">
        <v>367</v>
      </c>
      <c r="B129" s="17">
        <v>0.2</v>
      </c>
      <c r="C129" s="52"/>
    </row>
    <row r="130" spans="1:3">
      <c r="A130" s="431" t="s">
        <v>239</v>
      </c>
      <c r="B130" s="432"/>
      <c r="C130" s="45">
        <f>ROUND((B127*(B128)-((B127*B128)*B129)),2)</f>
        <v>0</v>
      </c>
    </row>
    <row r="132" spans="1:3">
      <c r="A132" s="419" t="s">
        <v>240</v>
      </c>
      <c r="B132" s="419"/>
      <c r="C132" s="419"/>
    </row>
    <row r="133" spans="1:3">
      <c r="A133" s="6" t="s">
        <v>242</v>
      </c>
      <c r="B133" s="18">
        <f>+B7</f>
        <v>0</v>
      </c>
      <c r="C133" s="52"/>
    </row>
    <row r="134" spans="1:3">
      <c r="A134" s="6" t="s">
        <v>243</v>
      </c>
      <c r="B134" s="6">
        <v>12</v>
      </c>
      <c r="C134" s="52"/>
    </row>
    <row r="135" spans="1:3">
      <c r="A135" s="116" t="s">
        <v>244</v>
      </c>
      <c r="B135" s="114"/>
      <c r="C135" s="52"/>
    </row>
    <row r="136" spans="1:3">
      <c r="A136" s="379" t="s">
        <v>245</v>
      </c>
      <c r="B136" s="379"/>
      <c r="C136" s="45">
        <f>ROUND(+(B133/B134)*B135,2)</f>
        <v>0</v>
      </c>
    </row>
    <row r="138" spans="1:3">
      <c r="A138" s="426" t="s">
        <v>246</v>
      </c>
      <c r="B138" s="427"/>
      <c r="C138" s="428"/>
    </row>
    <row r="139" spans="1:3" s="60" customFormat="1">
      <c r="A139" s="117" t="s">
        <v>251</v>
      </c>
      <c r="B139" s="114">
        <f>+B135</f>
        <v>0</v>
      </c>
      <c r="C139" s="52"/>
    </row>
    <row r="140" spans="1:3">
      <c r="A140" s="6" t="s">
        <v>247</v>
      </c>
      <c r="B140" s="18">
        <f>+'Vigilante 5x2 12h Desar'!$D$24</f>
        <v>0</v>
      </c>
      <c r="C140" s="52"/>
    </row>
    <row r="141" spans="1:3">
      <c r="A141" s="6" t="s">
        <v>46</v>
      </c>
      <c r="B141" s="18">
        <f>+'Vigilante 5x2 12h Desar'!$D$30</f>
        <v>0</v>
      </c>
      <c r="C141" s="52"/>
    </row>
    <row r="142" spans="1:3">
      <c r="A142" s="111" t="s">
        <v>45</v>
      </c>
      <c r="B142" s="18">
        <f>+'Vigilante 5x2 12h Desar'!$D$32</f>
        <v>0</v>
      </c>
      <c r="C142" s="52"/>
    </row>
    <row r="143" spans="1:3">
      <c r="A143" s="111" t="s">
        <v>44</v>
      </c>
      <c r="B143" s="18">
        <f>+'Vigilante 5x2 12h Desar'!$D$33</f>
        <v>0</v>
      </c>
      <c r="C143" s="52"/>
    </row>
    <row r="144" spans="1:3">
      <c r="A144" s="104" t="s">
        <v>248</v>
      </c>
      <c r="B144" s="105">
        <f>SUM(B140:B143)</f>
        <v>0</v>
      </c>
      <c r="C144" s="52"/>
    </row>
    <row r="145" spans="1:3">
      <c r="A145" s="25" t="s">
        <v>249</v>
      </c>
      <c r="B145" s="17">
        <v>0.4</v>
      </c>
      <c r="C145" s="52"/>
    </row>
    <row r="146" spans="1:3">
      <c r="A146" s="25" t="s">
        <v>250</v>
      </c>
      <c r="B146" s="17">
        <f>+'Vigilante 5x2 12h Desar'!$C$45</f>
        <v>0.08</v>
      </c>
      <c r="C146" s="52"/>
    </row>
    <row r="147" spans="1:3">
      <c r="A147" s="430" t="s">
        <v>252</v>
      </c>
      <c r="B147" s="430"/>
      <c r="C147" s="73">
        <f>ROUND(+B144*B145*B146*B139,2)</f>
        <v>0</v>
      </c>
    </row>
    <row r="148" spans="1:3">
      <c r="A148" s="25" t="s">
        <v>253</v>
      </c>
      <c r="B148" s="17">
        <v>0.1</v>
      </c>
      <c r="C148" s="52"/>
    </row>
    <row r="149" spans="1:3">
      <c r="A149" s="430" t="s">
        <v>254</v>
      </c>
      <c r="B149" s="430"/>
      <c r="C149" s="112">
        <f>ROUND(B148*B146*B144*B139,2)</f>
        <v>0</v>
      </c>
    </row>
    <row r="150" spans="1:3">
      <c r="A150" s="431" t="s">
        <v>255</v>
      </c>
      <c r="B150" s="432"/>
      <c r="C150" s="71">
        <f>+C149+C147</f>
        <v>0</v>
      </c>
    </row>
    <row r="152" spans="1:3">
      <c r="A152" s="419" t="s">
        <v>256</v>
      </c>
      <c r="B152" s="419"/>
      <c r="C152" s="419"/>
    </row>
    <row r="153" spans="1:3">
      <c r="A153" s="6" t="s">
        <v>242</v>
      </c>
      <c r="B153" s="18">
        <f>+B7</f>
        <v>0</v>
      </c>
      <c r="C153" s="52"/>
    </row>
    <row r="154" spans="1:3">
      <c r="A154" s="6" t="s">
        <v>257</v>
      </c>
      <c r="B154" s="113">
        <v>30</v>
      </c>
      <c r="C154" s="52"/>
    </row>
    <row r="155" spans="1:3">
      <c r="A155" s="6" t="s">
        <v>243</v>
      </c>
      <c r="B155" s="6">
        <v>12</v>
      </c>
      <c r="C155" s="52"/>
    </row>
    <row r="156" spans="1:3">
      <c r="A156" s="6" t="s">
        <v>258</v>
      </c>
      <c r="B156" s="6">
        <v>5</v>
      </c>
      <c r="C156" s="52"/>
    </row>
    <row r="157" spans="1:3">
      <c r="A157" s="116" t="s">
        <v>294</v>
      </c>
      <c r="B157" s="114"/>
      <c r="C157" s="52"/>
    </row>
    <row r="158" spans="1:3">
      <c r="A158" s="379" t="s">
        <v>369</v>
      </c>
      <c r="B158" s="379"/>
      <c r="C158" s="45">
        <f>+ROUND(((B153/B154/B155)*B156)*B157,2)</f>
        <v>0</v>
      </c>
    </row>
    <row r="160" spans="1:3">
      <c r="A160" s="426" t="s">
        <v>259</v>
      </c>
      <c r="B160" s="427"/>
      <c r="C160" s="428"/>
    </row>
    <row r="161" spans="1:3">
      <c r="A161" s="115" t="s">
        <v>260</v>
      </c>
      <c r="B161" s="114">
        <f>+B157</f>
        <v>0</v>
      </c>
      <c r="C161" s="52"/>
    </row>
    <row r="162" spans="1:3">
      <c r="A162" s="6" t="s">
        <v>247</v>
      </c>
      <c r="B162" s="18">
        <f>+'Vigilante 5x2 12h Desar'!$D$24</f>
        <v>0</v>
      </c>
      <c r="C162" s="52"/>
    </row>
    <row r="163" spans="1:3">
      <c r="A163" s="6" t="s">
        <v>46</v>
      </c>
      <c r="B163" s="18">
        <f>+'Vigilante 5x2 12h Desar'!$D$30</f>
        <v>0</v>
      </c>
      <c r="C163" s="52"/>
    </row>
    <row r="164" spans="1:3">
      <c r="A164" s="111" t="s">
        <v>45</v>
      </c>
      <c r="B164" s="18">
        <f>+'Vigilante 5x2 12h Desar'!$D$32</f>
        <v>0</v>
      </c>
      <c r="C164" s="52"/>
    </row>
    <row r="165" spans="1:3">
      <c r="A165" s="111" t="s">
        <v>44</v>
      </c>
      <c r="B165" s="18">
        <f>+'Vigilante 5x2 12h Desar'!$D$33</f>
        <v>0</v>
      </c>
      <c r="C165" s="52"/>
    </row>
    <row r="166" spans="1:3">
      <c r="A166" s="104" t="s">
        <v>248</v>
      </c>
      <c r="B166" s="105">
        <f>SUM(B162:B165)</f>
        <v>0</v>
      </c>
      <c r="C166" s="52"/>
    </row>
    <row r="167" spans="1:3">
      <c r="A167" s="25" t="s">
        <v>249</v>
      </c>
      <c r="B167" s="17">
        <v>0.4</v>
      </c>
      <c r="C167" s="52"/>
    </row>
    <row r="168" spans="1:3">
      <c r="A168" s="25" t="s">
        <v>250</v>
      </c>
      <c r="B168" s="17">
        <f>+'Vigilante 5x2 12h Desar'!$C$45</f>
        <v>0.08</v>
      </c>
      <c r="C168" s="52"/>
    </row>
    <row r="169" spans="1:3">
      <c r="A169" s="430" t="s">
        <v>252</v>
      </c>
      <c r="B169" s="430"/>
      <c r="C169" s="73">
        <f>ROUND(+B166*B167*B168*B161,2)</f>
        <v>0</v>
      </c>
    </row>
    <row r="170" spans="1:3">
      <c r="A170" s="25" t="s">
        <v>253</v>
      </c>
      <c r="B170" s="17">
        <v>0.1</v>
      </c>
      <c r="C170" s="52"/>
    </row>
    <row r="171" spans="1:3">
      <c r="A171" s="430" t="s">
        <v>254</v>
      </c>
      <c r="B171" s="430"/>
      <c r="C171" s="112">
        <f>ROUND(B170*B168*B166*B161,2)</f>
        <v>0</v>
      </c>
    </row>
    <row r="172" spans="1:3">
      <c r="A172" s="431" t="s">
        <v>387</v>
      </c>
      <c r="B172" s="432"/>
      <c r="C172" s="71">
        <f>+C171+C169</f>
        <v>0</v>
      </c>
    </row>
    <row r="174" spans="1:3">
      <c r="A174" s="426" t="s">
        <v>262</v>
      </c>
      <c r="B174" s="427"/>
      <c r="C174" s="428"/>
    </row>
    <row r="175" spans="1:3">
      <c r="A175" s="429" t="s">
        <v>359</v>
      </c>
      <c r="B175" s="429"/>
      <c r="C175" s="429"/>
    </row>
    <row r="176" spans="1:3">
      <c r="A176" s="429"/>
      <c r="B176" s="429"/>
      <c r="C176" s="429"/>
    </row>
    <row r="177" spans="1:3">
      <c r="A177" s="429"/>
      <c r="B177" s="429"/>
      <c r="C177" s="429"/>
    </row>
    <row r="178" spans="1:3">
      <c r="A178" s="429"/>
      <c r="B178" s="429"/>
      <c r="C178" s="429"/>
    </row>
    <row r="179" spans="1:3">
      <c r="A179" s="119"/>
      <c r="B179" s="119"/>
      <c r="C179" s="119"/>
    </row>
    <row r="180" spans="1:3">
      <c r="A180" s="422" t="s">
        <v>261</v>
      </c>
      <c r="B180" s="422"/>
      <c r="C180" s="422"/>
    </row>
    <row r="181" spans="1:3">
      <c r="A181" s="6" t="s">
        <v>263</v>
      </c>
      <c r="B181" s="18">
        <f>+$B$7</f>
        <v>0</v>
      </c>
      <c r="C181" s="52"/>
    </row>
    <row r="182" spans="1:3">
      <c r="A182" s="6" t="s">
        <v>206</v>
      </c>
      <c r="B182" s="6">
        <v>30</v>
      </c>
      <c r="C182" s="52"/>
    </row>
    <row r="183" spans="1:3">
      <c r="A183" s="6" t="s">
        <v>264</v>
      </c>
      <c r="B183" s="6">
        <v>12</v>
      </c>
      <c r="C183" s="52"/>
    </row>
    <row r="184" spans="1:3">
      <c r="A184" s="116" t="s">
        <v>265</v>
      </c>
      <c r="B184" s="116"/>
      <c r="C184" s="52"/>
    </row>
    <row r="185" spans="1:3">
      <c r="A185" s="379" t="s">
        <v>266</v>
      </c>
      <c r="B185" s="379"/>
      <c r="C185" s="24">
        <f>+ROUND((B181/B182/B183)*B184,2)</f>
        <v>0</v>
      </c>
    </row>
    <row r="187" spans="1:3">
      <c r="A187" s="422" t="s">
        <v>269</v>
      </c>
      <c r="B187" s="422"/>
      <c r="C187" s="422"/>
    </row>
    <row r="188" spans="1:3">
      <c r="A188" s="6" t="s">
        <v>263</v>
      </c>
      <c r="B188" s="18">
        <f>+$B$7</f>
        <v>0</v>
      </c>
      <c r="C188" s="52"/>
    </row>
    <row r="189" spans="1:3">
      <c r="A189" s="6" t="s">
        <v>206</v>
      </c>
      <c r="B189" s="6">
        <v>30</v>
      </c>
      <c r="C189" s="52"/>
    </row>
    <row r="190" spans="1:3">
      <c r="A190" s="6" t="s">
        <v>264</v>
      </c>
      <c r="B190" s="6">
        <v>12</v>
      </c>
      <c r="C190" s="52"/>
    </row>
    <row r="191" spans="1:3">
      <c r="A191" s="34" t="s">
        <v>267</v>
      </c>
      <c r="B191" s="6">
        <v>5</v>
      </c>
      <c r="C191" s="52"/>
    </row>
    <row r="192" spans="1:3">
      <c r="A192" s="116" t="s">
        <v>268</v>
      </c>
      <c r="B192" s="114"/>
      <c r="C192" s="52"/>
    </row>
    <row r="193" spans="1:3">
      <c r="A193" s="116" t="s">
        <v>270</v>
      </c>
      <c r="B193" s="114"/>
      <c r="C193" s="52"/>
    </row>
    <row r="194" spans="1:3">
      <c r="A194" s="379" t="s">
        <v>271</v>
      </c>
      <c r="B194" s="379"/>
      <c r="C194" s="45">
        <f>ROUND(+B188/B189/B190*B191*B192*B193,2)</f>
        <v>0</v>
      </c>
    </row>
    <row r="196" spans="1:3">
      <c r="A196" s="422" t="s">
        <v>272</v>
      </c>
      <c r="B196" s="422"/>
      <c r="C196" s="422"/>
    </row>
    <row r="197" spans="1:3">
      <c r="A197" s="6" t="s">
        <v>263</v>
      </c>
      <c r="B197" s="18">
        <f>+$B$7</f>
        <v>0</v>
      </c>
      <c r="C197" s="52"/>
    </row>
    <row r="198" spans="1:3">
      <c r="A198" s="6" t="s">
        <v>206</v>
      </c>
      <c r="B198" s="6">
        <v>30</v>
      </c>
      <c r="C198" s="52"/>
    </row>
    <row r="199" spans="1:3">
      <c r="A199" s="6" t="s">
        <v>264</v>
      </c>
      <c r="B199" s="6">
        <v>12</v>
      </c>
      <c r="C199" s="52"/>
    </row>
    <row r="200" spans="1:3">
      <c r="A200" s="34" t="s">
        <v>273</v>
      </c>
      <c r="B200" s="6">
        <v>15</v>
      </c>
      <c r="C200" s="52"/>
    </row>
    <row r="201" spans="1:3">
      <c r="A201" s="116" t="s">
        <v>274</v>
      </c>
      <c r="B201" s="114"/>
      <c r="C201" s="52"/>
    </row>
    <row r="202" spans="1:3">
      <c r="A202" s="379" t="s">
        <v>370</v>
      </c>
      <c r="B202" s="379"/>
      <c r="C202" s="45">
        <f>ROUND(+B197/B198/B199*B200*B201,2)</f>
        <v>0</v>
      </c>
    </row>
    <row r="204" spans="1:3">
      <c r="A204" s="422" t="s">
        <v>275</v>
      </c>
      <c r="B204" s="422"/>
      <c r="C204" s="422"/>
    </row>
    <row r="205" spans="1:3">
      <c r="A205" s="6" t="s">
        <v>263</v>
      </c>
      <c r="B205" s="18">
        <f>+$B$7</f>
        <v>0</v>
      </c>
      <c r="C205" s="52"/>
    </row>
    <row r="206" spans="1:3">
      <c r="A206" s="6" t="s">
        <v>206</v>
      </c>
      <c r="B206" s="6">
        <v>30</v>
      </c>
      <c r="C206" s="52"/>
    </row>
    <row r="207" spans="1:3">
      <c r="A207" s="6" t="s">
        <v>264</v>
      </c>
      <c r="B207" s="6">
        <v>12</v>
      </c>
      <c r="C207" s="52"/>
    </row>
    <row r="208" spans="1:3">
      <c r="A208" s="34" t="s">
        <v>273</v>
      </c>
      <c r="B208" s="6">
        <v>5</v>
      </c>
      <c r="C208" s="52"/>
    </row>
    <row r="209" spans="1:3">
      <c r="A209" s="116" t="s">
        <v>276</v>
      </c>
      <c r="B209" s="114"/>
      <c r="C209" s="52"/>
    </row>
    <row r="210" spans="1:3">
      <c r="A210" s="379" t="s">
        <v>371</v>
      </c>
      <c r="B210" s="379"/>
      <c r="C210" s="45">
        <f>ROUND(+B205/B206/B207*B208*B209,2)</f>
        <v>0</v>
      </c>
    </row>
    <row r="212" spans="1:3">
      <c r="A212" s="419" t="s">
        <v>108</v>
      </c>
      <c r="B212" s="419"/>
      <c r="C212" s="419"/>
    </row>
    <row r="213" spans="1:3">
      <c r="A213" s="83" t="s">
        <v>23</v>
      </c>
      <c r="B213" s="87"/>
      <c r="C213" s="18">
        <f>+'Vigilante 5x2 12h Desar'!D24-'Vigilante 5x2 12h Desar'!D21</f>
        <v>0</v>
      </c>
    </row>
    <row r="214" spans="1:3">
      <c r="A214" s="83" t="s">
        <v>68</v>
      </c>
      <c r="B214" s="87"/>
      <c r="C214" s="18">
        <f>+'Vigilante 5x2 12h Desar'!D69</f>
        <v>0</v>
      </c>
    </row>
    <row r="215" spans="1:3">
      <c r="A215" s="83" t="s">
        <v>153</v>
      </c>
      <c r="B215" s="87"/>
      <c r="C215" s="18">
        <f>+'Vigilante 5x2 12h Desar'!D117</f>
        <v>0</v>
      </c>
    </row>
    <row r="216" spans="1:3">
      <c r="A216" s="83" t="s">
        <v>86</v>
      </c>
      <c r="B216" s="87"/>
      <c r="C216" s="18">
        <f>+'Vigilante 5x2 12h Desar'!D108</f>
        <v>0</v>
      </c>
    </row>
    <row r="217" spans="1:3">
      <c r="A217" s="83" t="s">
        <v>92</v>
      </c>
      <c r="B217" s="87"/>
      <c r="C217" s="18">
        <f>+'Vigilante 5x2 12h Desar'!D109</f>
        <v>0</v>
      </c>
    </row>
    <row r="218" spans="1:3">
      <c r="A218" s="83" t="s">
        <v>70</v>
      </c>
      <c r="B218" s="87"/>
      <c r="C218" s="18">
        <f>+'Vigilante 5x2 12h Desar'!D80</f>
        <v>0</v>
      </c>
    </row>
    <row r="219" spans="1:3">
      <c r="A219" s="83" t="s">
        <v>193</v>
      </c>
      <c r="B219" s="87"/>
      <c r="C219" s="18">
        <f>SUM(C213:C218)</f>
        <v>0</v>
      </c>
    </row>
    <row r="220" spans="1:3">
      <c r="A220" s="83" t="s">
        <v>102</v>
      </c>
      <c r="B220" s="84">
        <v>220</v>
      </c>
      <c r="C220" s="85"/>
    </row>
    <row r="221" spans="1:3">
      <c r="A221" s="83" t="s">
        <v>103</v>
      </c>
      <c r="B221" s="87"/>
      <c r="C221" s="18">
        <f>ROUND(C219/B220,2)</f>
        <v>0</v>
      </c>
    </row>
    <row r="222" spans="1:3">
      <c r="A222" s="6" t="s">
        <v>104</v>
      </c>
      <c r="B222" s="51">
        <f>+B5</f>
        <v>21.741071428571431</v>
      </c>
      <c r="C222" s="58"/>
    </row>
    <row r="223" spans="1:3">
      <c r="A223" s="431" t="s">
        <v>106</v>
      </c>
      <c r="B223" s="432"/>
      <c r="C223" s="71">
        <f>ROUND(+B222*C221,2)</f>
        <v>0</v>
      </c>
    </row>
    <row r="225" spans="1:3">
      <c r="A225" s="422" t="s">
        <v>277</v>
      </c>
      <c r="B225" s="422"/>
      <c r="C225" s="422"/>
    </row>
    <row r="226" spans="1:3">
      <c r="A226" s="423" t="s">
        <v>282</v>
      </c>
      <c r="B226" s="424"/>
      <c r="C226" s="425"/>
    </row>
    <row r="227" spans="1:3">
      <c r="A227" s="6" t="s">
        <v>263</v>
      </c>
      <c r="B227" s="18">
        <f>+$B$7</f>
        <v>0</v>
      </c>
      <c r="C227" s="52"/>
    </row>
    <row r="228" spans="1:3">
      <c r="A228" s="6" t="s">
        <v>281</v>
      </c>
      <c r="B228" s="18">
        <f>+B227*(1/3)</f>
        <v>0</v>
      </c>
      <c r="C228" s="52"/>
    </row>
    <row r="229" spans="1:3">
      <c r="A229" s="104" t="s">
        <v>248</v>
      </c>
      <c r="B229" s="105">
        <f>SUM(B227:B228)</f>
        <v>0</v>
      </c>
      <c r="C229" s="52"/>
    </row>
    <row r="230" spans="1:3">
      <c r="A230" s="6" t="s">
        <v>278</v>
      </c>
      <c r="B230" s="6">
        <v>4</v>
      </c>
      <c r="C230" s="52"/>
    </row>
    <row r="231" spans="1:3">
      <c r="A231" s="6" t="s">
        <v>264</v>
      </c>
      <c r="B231" s="6">
        <v>12</v>
      </c>
      <c r="C231" s="52"/>
    </row>
    <row r="232" spans="1:3">
      <c r="A232" s="116" t="s">
        <v>279</v>
      </c>
      <c r="B232" s="114"/>
      <c r="C232" s="52"/>
    </row>
    <row r="233" spans="1:3">
      <c r="A233" s="116" t="s">
        <v>280</v>
      </c>
      <c r="B233" s="114"/>
      <c r="C233" s="52"/>
    </row>
    <row r="234" spans="1:3">
      <c r="A234" s="379" t="s">
        <v>283</v>
      </c>
      <c r="B234" s="379"/>
      <c r="C234" s="45">
        <f>ROUND((((+B229*(B230/B231)/B231)*B232)*B233),2)</f>
        <v>0</v>
      </c>
    </row>
    <row r="235" spans="1:3">
      <c r="A235" s="379" t="s">
        <v>284</v>
      </c>
      <c r="B235" s="379"/>
      <c r="C235" s="379"/>
    </row>
    <row r="236" spans="1:3">
      <c r="A236" s="6" t="s">
        <v>263</v>
      </c>
      <c r="B236" s="18">
        <f>+'Vigilante 5x2 12h Desar'!D24</f>
        <v>0</v>
      </c>
      <c r="C236" s="52"/>
    </row>
    <row r="237" spans="1:3">
      <c r="A237" s="6" t="s">
        <v>46</v>
      </c>
      <c r="B237" s="18">
        <f>+'Vigilante 5x2 12h Desar'!D30</f>
        <v>0</v>
      </c>
      <c r="C237" s="52"/>
    </row>
    <row r="238" spans="1:3">
      <c r="A238" s="104" t="s">
        <v>248</v>
      </c>
      <c r="B238" s="105">
        <f>SUM(B236:B237)</f>
        <v>0</v>
      </c>
      <c r="C238" s="52"/>
    </row>
    <row r="239" spans="1:3">
      <c r="A239" s="6" t="s">
        <v>278</v>
      </c>
      <c r="B239" s="6">
        <v>4</v>
      </c>
      <c r="C239" s="52"/>
    </row>
    <row r="240" spans="1:3">
      <c r="A240" s="6" t="s">
        <v>264</v>
      </c>
      <c r="B240" s="6">
        <v>12</v>
      </c>
      <c r="C240" s="52"/>
    </row>
    <row r="241" spans="1:3">
      <c r="A241" s="116" t="s">
        <v>279</v>
      </c>
      <c r="B241" s="114"/>
      <c r="C241" s="52"/>
    </row>
    <row r="242" spans="1:3">
      <c r="A242" s="116" t="s">
        <v>280</v>
      </c>
      <c r="B242" s="114"/>
      <c r="C242" s="52"/>
    </row>
    <row r="243" spans="1:3">
      <c r="A243" s="34" t="s">
        <v>285</v>
      </c>
      <c r="B243" s="17">
        <f>+'Vigilante 5x2 12h Desar'!C46</f>
        <v>0.36800000000000005</v>
      </c>
      <c r="C243" s="52"/>
    </row>
    <row r="244" spans="1:3">
      <c r="A244" s="379" t="s">
        <v>286</v>
      </c>
      <c r="B244" s="379"/>
      <c r="C244" s="71">
        <f>ROUND((((B238*(B239/B240)*B241)*B242)*B243),2)</f>
        <v>0</v>
      </c>
    </row>
  </sheetData>
  <mergeCells count="45"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</mergeCells>
  <pageMargins left="0.93" right="0.12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F185"/>
  <sheetViews>
    <sheetView workbookViewId="0">
      <selection activeCell="A22" sqref="A22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4" spans="1:6">
      <c r="A4" s="380" t="s">
        <v>16</v>
      </c>
      <c r="B4" s="380"/>
      <c r="C4" s="380"/>
      <c r="D4" s="380"/>
    </row>
    <row r="5" spans="1:6" s="1" customFormat="1" ht="42.75" customHeight="1">
      <c r="A5" s="202">
        <v>1</v>
      </c>
      <c r="B5" s="203" t="s">
        <v>17</v>
      </c>
      <c r="C5" s="479" t="s">
        <v>372</v>
      </c>
      <c r="D5" s="480"/>
    </row>
    <row r="6" spans="1:6" s="1" customFormat="1">
      <c r="A6" s="202">
        <v>2</v>
      </c>
      <c r="B6" s="203" t="s">
        <v>18</v>
      </c>
      <c r="C6" s="481" t="s">
        <v>295</v>
      </c>
      <c r="D6" s="476"/>
    </row>
    <row r="7" spans="1:6" s="1" customFormat="1">
      <c r="A7" s="202">
        <v>3</v>
      </c>
      <c r="B7" s="203" t="s">
        <v>19</v>
      </c>
      <c r="C7" s="401"/>
      <c r="D7" s="401"/>
    </row>
    <row r="8" spans="1:6" s="1" customFormat="1" ht="41.25" customHeight="1">
      <c r="A8" s="202">
        <v>4</v>
      </c>
      <c r="B8" s="203" t="s">
        <v>21</v>
      </c>
      <c r="C8" s="477" t="s">
        <v>296</v>
      </c>
      <c r="D8" s="478"/>
    </row>
    <row r="9" spans="1:6" s="1" customFormat="1">
      <c r="A9" s="202">
        <v>5</v>
      </c>
      <c r="B9" s="203" t="s">
        <v>20</v>
      </c>
      <c r="C9" s="475">
        <v>42795</v>
      </c>
      <c r="D9" s="476"/>
    </row>
    <row r="10" spans="1:6">
      <c r="D10" s="196"/>
    </row>
    <row r="11" spans="1:6">
      <c r="A11" s="409" t="s">
        <v>22</v>
      </c>
      <c r="B11" s="409"/>
      <c r="C11" s="409"/>
      <c r="D11" s="409"/>
    </row>
    <row r="12" spans="1:6">
      <c r="A12" s="4">
        <v>1</v>
      </c>
      <c r="B12" s="200" t="s">
        <v>23</v>
      </c>
      <c r="C12" s="191" t="s">
        <v>50</v>
      </c>
      <c r="D12" s="5" t="s">
        <v>24</v>
      </c>
    </row>
    <row r="13" spans="1:6">
      <c r="A13" s="190" t="s">
        <v>3</v>
      </c>
      <c r="B13" s="323" t="s">
        <v>30</v>
      </c>
      <c r="C13" s="323"/>
      <c r="D13" s="7">
        <f>+C7</f>
        <v>0</v>
      </c>
    </row>
    <row r="14" spans="1:6">
      <c r="A14" s="190" t="s">
        <v>4</v>
      </c>
      <c r="B14" s="89" t="s">
        <v>31</v>
      </c>
      <c r="C14" s="95">
        <v>0.3</v>
      </c>
      <c r="D14" s="7">
        <f>+(D13+D23)*C14</f>
        <v>0</v>
      </c>
      <c r="E14" s="88"/>
    </row>
    <row r="15" spans="1:6">
      <c r="A15" s="190" t="s">
        <v>5</v>
      </c>
      <c r="B15" s="89" t="s">
        <v>32</v>
      </c>
      <c r="C15" s="95"/>
      <c r="D15" s="7"/>
    </row>
    <row r="16" spans="1:6">
      <c r="A16" s="190" t="s">
        <v>6</v>
      </c>
      <c r="B16" s="323" t="s">
        <v>33</v>
      </c>
      <c r="C16" s="323"/>
      <c r="D16" s="7"/>
    </row>
    <row r="17" spans="1:6">
      <c r="A17" s="190" t="s">
        <v>25</v>
      </c>
      <c r="B17" s="323" t="s">
        <v>34</v>
      </c>
      <c r="C17" s="323"/>
      <c r="D17" s="7"/>
    </row>
    <row r="18" spans="1:6">
      <c r="A18" s="190" t="s">
        <v>26</v>
      </c>
      <c r="B18" s="412" t="s">
        <v>231</v>
      </c>
      <c r="C18" s="413"/>
      <c r="D18" s="7"/>
    </row>
    <row r="19" spans="1:6">
      <c r="A19" s="190" t="s">
        <v>27</v>
      </c>
      <c r="B19" s="323" t="s">
        <v>35</v>
      </c>
      <c r="C19" s="323"/>
      <c r="D19" s="7"/>
    </row>
    <row r="20" spans="1:6">
      <c r="A20" s="190" t="s">
        <v>28</v>
      </c>
      <c r="B20" s="412" t="s">
        <v>195</v>
      </c>
      <c r="C20" s="413"/>
      <c r="D20" s="93"/>
    </row>
    <row r="21" spans="1:6">
      <c r="A21" s="190" t="s">
        <v>64</v>
      </c>
      <c r="B21" s="89" t="s">
        <v>65</v>
      </c>
      <c r="C21" s="95"/>
      <c r="D21" s="7"/>
    </row>
    <row r="22" spans="1:6">
      <c r="A22" s="190" t="s">
        <v>194</v>
      </c>
      <c r="B22" s="323" t="s">
        <v>95</v>
      </c>
      <c r="C22" s="323"/>
      <c r="D22" s="8"/>
      <c r="F22" s="98"/>
    </row>
    <row r="23" spans="1:6">
      <c r="A23" s="190" t="s">
        <v>196</v>
      </c>
      <c r="B23" s="412" t="s">
        <v>345</v>
      </c>
      <c r="C23" s="413"/>
      <c r="D23" s="8"/>
      <c r="F23" s="98"/>
    </row>
    <row r="24" spans="1:6">
      <c r="A24" s="190" t="s">
        <v>343</v>
      </c>
      <c r="B24" s="323" t="s">
        <v>36</v>
      </c>
      <c r="C24" s="323"/>
      <c r="D24" s="8"/>
    </row>
    <row r="25" spans="1:6">
      <c r="A25" s="380" t="s">
        <v>29</v>
      </c>
      <c r="B25" s="380"/>
      <c r="C25" s="380"/>
      <c r="D25" s="9">
        <f>SUM(D13:D24)</f>
        <v>0</v>
      </c>
    </row>
    <row r="27" spans="1:6">
      <c r="A27" s="388" t="s">
        <v>37</v>
      </c>
      <c r="B27" s="389"/>
      <c r="C27" s="389"/>
      <c r="D27" s="389"/>
    </row>
    <row r="29" spans="1:6">
      <c r="A29" s="409" t="s">
        <v>38</v>
      </c>
      <c r="B29" s="409"/>
      <c r="C29" s="409"/>
      <c r="D29" s="409"/>
    </row>
    <row r="30" spans="1:6">
      <c r="A30" s="13" t="s">
        <v>39</v>
      </c>
      <c r="B30" s="14" t="s">
        <v>40</v>
      </c>
      <c r="C30" s="191" t="s">
        <v>50</v>
      </c>
      <c r="D30" s="191" t="s">
        <v>24</v>
      </c>
    </row>
    <row r="31" spans="1:6">
      <c r="A31" s="190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>
      <c r="A33" s="190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>
      <c r="A34" s="190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>
      <c r="A35" s="380" t="s">
        <v>29</v>
      </c>
      <c r="B35" s="380"/>
      <c r="C35" s="380"/>
      <c r="D35" s="9">
        <f>+D32+D31</f>
        <v>0</v>
      </c>
    </row>
    <row r="37" spans="1:4">
      <c r="A37" s="404" t="s">
        <v>47</v>
      </c>
      <c r="B37" s="404"/>
      <c r="C37" s="404"/>
      <c r="D37" s="404"/>
    </row>
    <row r="38" spans="1:4">
      <c r="A38" s="13" t="s">
        <v>48</v>
      </c>
      <c r="B38" s="14" t="s">
        <v>49</v>
      </c>
      <c r="C38" s="191" t="s">
        <v>50</v>
      </c>
      <c r="D38" s="191" t="s">
        <v>24</v>
      </c>
    </row>
    <row r="39" spans="1:4">
      <c r="A39" s="190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>
      <c r="A40" s="190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>
      <c r="A41" s="190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>
      <c r="A42" s="190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>
      <c r="A43" s="190" t="s">
        <v>25</v>
      </c>
      <c r="B43" s="6" t="s">
        <v>54</v>
      </c>
      <c r="C43" s="17">
        <v>0.01</v>
      </c>
      <c r="D43" s="18">
        <f t="shared" si="0"/>
        <v>0</v>
      </c>
    </row>
    <row r="44" spans="1:4">
      <c r="A44" s="190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>
      <c r="A45" s="190" t="s">
        <v>27</v>
      </c>
      <c r="B45" s="6" t="s">
        <v>56</v>
      </c>
      <c r="C45" s="17">
        <v>2E-3</v>
      </c>
      <c r="D45" s="18">
        <f t="shared" si="0"/>
        <v>0</v>
      </c>
    </row>
    <row r="46" spans="1:4">
      <c r="A46" s="190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>
      <c r="A47" s="192" t="s">
        <v>29</v>
      </c>
      <c r="B47" s="193"/>
      <c r="C47" s="41">
        <f>SUM(C39:C46)</f>
        <v>0.36800000000000005</v>
      </c>
      <c r="D47" s="42">
        <f>SUM(D39:D46)</f>
        <v>0</v>
      </c>
    </row>
    <row r="48" spans="1:4">
      <c r="A48" s="43"/>
      <c r="B48" s="43"/>
      <c r="C48" s="43"/>
      <c r="D48" s="43"/>
    </row>
    <row r="49" spans="1:6">
      <c r="A49" s="404" t="s">
        <v>59</v>
      </c>
      <c r="B49" s="404"/>
      <c r="C49" s="404"/>
      <c r="D49" s="404"/>
    </row>
    <row r="50" spans="1:6">
      <c r="A50" s="13" t="s">
        <v>60</v>
      </c>
      <c r="B50" s="14" t="s">
        <v>61</v>
      </c>
      <c r="C50" s="191"/>
      <c r="D50" s="191" t="s">
        <v>24</v>
      </c>
    </row>
    <row r="51" spans="1:6">
      <c r="A51" s="107" t="s">
        <v>3</v>
      </c>
      <c r="B51" s="6" t="s">
        <v>62</v>
      </c>
      <c r="C51" s="54"/>
      <c r="D51" s="18">
        <f>+'Calculo 44h Desarm'!C121</f>
        <v>0</v>
      </c>
    </row>
    <row r="52" spans="1:6" s="60" customFormat="1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>
      <c r="A53" s="107" t="s">
        <v>4</v>
      </c>
      <c r="B53" s="6" t="s">
        <v>63</v>
      </c>
      <c r="C53" s="54"/>
      <c r="D53" s="18">
        <f>+'Calculo 44h Desarm'!C130</f>
        <v>0</v>
      </c>
      <c r="F53" s="61"/>
    </row>
    <row r="54" spans="1:6" s="60" customFormat="1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>
      <c r="A55" s="6" t="s">
        <v>5</v>
      </c>
      <c r="B55" s="6" t="s">
        <v>66</v>
      </c>
      <c r="C55" s="54"/>
      <c r="D55" s="18"/>
      <c r="F55" s="61"/>
    </row>
    <row r="56" spans="1:6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>
      <c r="A57" s="116" t="s">
        <v>6</v>
      </c>
      <c r="B57" s="116" t="s">
        <v>389</v>
      </c>
      <c r="C57" s="54"/>
      <c r="D57" s="301"/>
      <c r="F57" s="61"/>
    </row>
    <row r="58" spans="1:6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>
      <c r="A59" s="116" t="s">
        <v>25</v>
      </c>
      <c r="B59" s="116" t="s">
        <v>396</v>
      </c>
      <c r="C59" s="54"/>
      <c r="D59" s="302"/>
      <c r="F59" s="130"/>
    </row>
    <row r="60" spans="1:6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>
      <c r="A61" s="116" t="s">
        <v>26</v>
      </c>
      <c r="B61" s="416" t="s">
        <v>293</v>
      </c>
      <c r="C61" s="416"/>
      <c r="D61" s="301"/>
    </row>
    <row r="62" spans="1:6">
      <c r="A62" s="108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>
      <c r="A63" s="380" t="s">
        <v>29</v>
      </c>
      <c r="B63" s="380"/>
      <c r="C63" s="16"/>
      <c r="D63" s="110">
        <f>SUM(D51:D62)</f>
        <v>0</v>
      </c>
    </row>
    <row r="65" spans="1:4">
      <c r="A65" s="409" t="s">
        <v>67</v>
      </c>
      <c r="B65" s="409"/>
      <c r="C65" s="409"/>
      <c r="D65" s="409"/>
    </row>
    <row r="66" spans="1:4">
      <c r="A66" s="24">
        <v>2</v>
      </c>
      <c r="B66" s="409" t="s">
        <v>68</v>
      </c>
      <c r="C66" s="409"/>
      <c r="D66" s="195" t="s">
        <v>24</v>
      </c>
    </row>
    <row r="67" spans="1:4">
      <c r="A67" s="25" t="s">
        <v>39</v>
      </c>
      <c r="B67" s="421" t="s">
        <v>40</v>
      </c>
      <c r="C67" s="421"/>
      <c r="D67" s="18">
        <f>+D35</f>
        <v>0</v>
      </c>
    </row>
    <row r="68" spans="1:4">
      <c r="A68" s="25" t="s">
        <v>48</v>
      </c>
      <c r="B68" s="421" t="s">
        <v>49</v>
      </c>
      <c r="C68" s="421"/>
      <c r="D68" s="18">
        <f>+D47</f>
        <v>0</v>
      </c>
    </row>
    <row r="69" spans="1:4">
      <c r="A69" s="25" t="s">
        <v>60</v>
      </c>
      <c r="B69" s="421" t="s">
        <v>61</v>
      </c>
      <c r="C69" s="421"/>
      <c r="D69" s="68">
        <f>+D63</f>
        <v>0</v>
      </c>
    </row>
    <row r="70" spans="1:4">
      <c r="A70" s="409" t="s">
        <v>29</v>
      </c>
      <c r="B70" s="409"/>
      <c r="C70" s="409"/>
      <c r="D70" s="26">
        <f>SUM(D67:D69)</f>
        <v>0</v>
      </c>
    </row>
    <row r="72" spans="1:4">
      <c r="A72" s="409" t="s">
        <v>69</v>
      </c>
      <c r="B72" s="409"/>
      <c r="C72" s="409"/>
      <c r="D72" s="409"/>
    </row>
    <row r="74" spans="1:4">
      <c r="A74" s="13">
        <v>3</v>
      </c>
      <c r="B74" s="14" t="s">
        <v>70</v>
      </c>
      <c r="C74" s="191" t="s">
        <v>50</v>
      </c>
      <c r="D74" s="191" t="s">
        <v>24</v>
      </c>
    </row>
    <row r="75" spans="1:4">
      <c r="A75" s="190" t="s">
        <v>3</v>
      </c>
      <c r="B75" s="34" t="s">
        <v>72</v>
      </c>
      <c r="C75" s="29" t="e">
        <f>+D75/$D$25</f>
        <v>#DIV/0!</v>
      </c>
      <c r="D75" s="118">
        <f>+'Calculo 44h Desarm'!C136</f>
        <v>0</v>
      </c>
    </row>
    <row r="76" spans="1:4">
      <c r="A76" s="190" t="s">
        <v>4</v>
      </c>
      <c r="B76" s="6" t="s">
        <v>73</v>
      </c>
      <c r="C76" s="52"/>
      <c r="D76" s="8">
        <f>ROUND(+D75*$C$46,2)</f>
        <v>0</v>
      </c>
    </row>
    <row r="77" spans="1:4" ht="30" customHeight="1">
      <c r="A77" s="190" t="s">
        <v>5</v>
      </c>
      <c r="B77" s="30" t="s">
        <v>75</v>
      </c>
      <c r="C77" s="17" t="e">
        <f>+D77/$D$25</f>
        <v>#DIV/0!</v>
      </c>
      <c r="D77" s="8">
        <f>+'Calculo 44h Desarm'!C147</f>
        <v>0</v>
      </c>
    </row>
    <row r="78" spans="1:4">
      <c r="A78" s="108" t="s">
        <v>6</v>
      </c>
      <c r="B78" s="6" t="s">
        <v>71</v>
      </c>
      <c r="C78" s="17" t="e">
        <f>+D78/$D$25</f>
        <v>#DIV/0!</v>
      </c>
      <c r="D78" s="8">
        <f>+'Calculo 44h Desarm'!C158</f>
        <v>0</v>
      </c>
    </row>
    <row r="79" spans="1:4" ht="31.5" customHeight="1">
      <c r="A79" s="108" t="s">
        <v>25</v>
      </c>
      <c r="B79" s="30" t="s">
        <v>74</v>
      </c>
      <c r="C79" s="52"/>
      <c r="D79" s="8">
        <f>+D78*C47</f>
        <v>0</v>
      </c>
    </row>
    <row r="80" spans="1:4" ht="31.5" customHeight="1">
      <c r="A80" s="108" t="s">
        <v>26</v>
      </c>
      <c r="B80" s="30" t="s">
        <v>76</v>
      </c>
      <c r="C80" s="17" t="e">
        <f>+D80/$D$25</f>
        <v>#DIV/0!</v>
      </c>
      <c r="D80" s="18">
        <f>+'Calculo 44h Desarm'!C149</f>
        <v>0</v>
      </c>
    </row>
    <row r="81" spans="1:4">
      <c r="A81" s="380" t="s">
        <v>29</v>
      </c>
      <c r="B81" s="380"/>
      <c r="C81" s="380"/>
      <c r="D81" s="32">
        <f>SUM(D75:D80)</f>
        <v>0</v>
      </c>
    </row>
    <row r="83" spans="1:4">
      <c r="A83" s="409" t="s">
        <v>84</v>
      </c>
      <c r="B83" s="409"/>
      <c r="C83" s="409"/>
      <c r="D83" s="409"/>
    </row>
    <row r="85" spans="1:4">
      <c r="A85" s="404" t="s">
        <v>87</v>
      </c>
      <c r="B85" s="404"/>
      <c r="C85" s="404"/>
      <c r="D85" s="404"/>
    </row>
    <row r="86" spans="1:4">
      <c r="A86" s="13" t="s">
        <v>85</v>
      </c>
      <c r="B86" s="380" t="s">
        <v>86</v>
      </c>
      <c r="C86" s="380"/>
      <c r="D86" s="191" t="s">
        <v>24</v>
      </c>
    </row>
    <row r="87" spans="1:4">
      <c r="A87" s="6" t="s">
        <v>3</v>
      </c>
      <c r="B87" s="377" t="s">
        <v>88</v>
      </c>
      <c r="C87" s="378"/>
      <c r="D87" s="8"/>
    </row>
    <row r="88" spans="1:4">
      <c r="A88" s="34" t="s">
        <v>4</v>
      </c>
      <c r="B88" s="396" t="s">
        <v>86</v>
      </c>
      <c r="C88" s="397"/>
      <c r="D88" s="120">
        <f>+'Calculo 44h Desarm'!C185</f>
        <v>0</v>
      </c>
    </row>
    <row r="89" spans="1:4" s="60" customFormat="1">
      <c r="A89" s="34" t="s">
        <v>5</v>
      </c>
      <c r="B89" s="396" t="s">
        <v>89</v>
      </c>
      <c r="C89" s="397"/>
      <c r="D89" s="120">
        <f>+'Calculo 44h Desarm'!C194</f>
        <v>0</v>
      </c>
    </row>
    <row r="90" spans="1:4" s="60" customFormat="1">
      <c r="A90" s="34" t="s">
        <v>6</v>
      </c>
      <c r="B90" s="396" t="s">
        <v>90</v>
      </c>
      <c r="C90" s="397"/>
      <c r="D90" s="120">
        <f>+'Calculo 44h Desarm'!C202</f>
        <v>0</v>
      </c>
    </row>
    <row r="91" spans="1:4" s="60" customFormat="1" ht="13.5">
      <c r="A91" s="34" t="s">
        <v>25</v>
      </c>
      <c r="B91" s="396" t="s">
        <v>287</v>
      </c>
      <c r="C91" s="397"/>
      <c r="D91" s="120"/>
    </row>
    <row r="92" spans="1:4" s="60" customFormat="1">
      <c r="A92" s="34" t="s">
        <v>26</v>
      </c>
      <c r="B92" s="396" t="s">
        <v>93</v>
      </c>
      <c r="C92" s="397"/>
      <c r="D92" s="120">
        <f>+'Calculo 44h Desarm'!C210</f>
        <v>0</v>
      </c>
    </row>
    <row r="93" spans="1:4">
      <c r="A93" s="6" t="s">
        <v>27</v>
      </c>
      <c r="B93" s="377" t="s">
        <v>36</v>
      </c>
      <c r="C93" s="378"/>
      <c r="D93" s="8"/>
    </row>
    <row r="94" spans="1:4">
      <c r="A94" s="6" t="s">
        <v>28</v>
      </c>
      <c r="B94" s="377" t="s">
        <v>94</v>
      </c>
      <c r="C94" s="378"/>
      <c r="D94" s="8">
        <f>ROUND((D88+D89+D90+D87+D91+D92+D93)*C47,2)</f>
        <v>0</v>
      </c>
    </row>
    <row r="95" spans="1:4">
      <c r="A95" s="380" t="s">
        <v>29</v>
      </c>
      <c r="B95" s="380"/>
      <c r="C95" s="380"/>
      <c r="D95" s="9">
        <f>SUM(D87:D94)</f>
        <v>0</v>
      </c>
    </row>
    <row r="96" spans="1:4">
      <c r="D96" s="15"/>
    </row>
    <row r="97" spans="1:4">
      <c r="A97" s="13" t="s">
        <v>99</v>
      </c>
      <c r="B97" s="380" t="s">
        <v>92</v>
      </c>
      <c r="C97" s="380"/>
      <c r="D97" s="191" t="s">
        <v>24</v>
      </c>
    </row>
    <row r="98" spans="1:4" s="60" customFormat="1">
      <c r="A98" s="34" t="s">
        <v>3</v>
      </c>
      <c r="B98" s="407" t="s">
        <v>96</v>
      </c>
      <c r="C98" s="408"/>
      <c r="D98" s="120">
        <f>+'Calculo 44h Desarm'!C234</f>
        <v>0</v>
      </c>
    </row>
    <row r="99" spans="1:4" s="60" customFormat="1" ht="30" customHeight="1">
      <c r="A99" s="34" t="s">
        <v>4</v>
      </c>
      <c r="B99" s="391" t="s">
        <v>98</v>
      </c>
      <c r="C99" s="392"/>
      <c r="D99" s="120">
        <f>ROUND(D98*C47,2)</f>
        <v>0</v>
      </c>
    </row>
    <row r="100" spans="1:4" s="60" customFormat="1" ht="30.75" customHeight="1">
      <c r="A100" s="34" t="s">
        <v>5</v>
      </c>
      <c r="B100" s="391" t="s">
        <v>97</v>
      </c>
      <c r="C100" s="392"/>
      <c r="D100" s="120">
        <f>+'Calculo 44h Desarm'!C244</f>
        <v>0</v>
      </c>
    </row>
    <row r="101" spans="1:4">
      <c r="A101" s="6" t="s">
        <v>6</v>
      </c>
      <c r="B101" s="377" t="s">
        <v>36</v>
      </c>
      <c r="C101" s="378"/>
      <c r="D101" s="8"/>
    </row>
    <row r="102" spans="1:4">
      <c r="A102" s="380" t="s">
        <v>29</v>
      </c>
      <c r="B102" s="380"/>
      <c r="C102" s="380"/>
      <c r="D102" s="9">
        <f>SUM(D98:D101)</f>
        <v>0</v>
      </c>
    </row>
    <row r="103" spans="1:4">
      <c r="D103" s="15"/>
    </row>
    <row r="104" spans="1:4">
      <c r="A104" s="13" t="s">
        <v>91</v>
      </c>
      <c r="B104" s="380" t="s">
        <v>100</v>
      </c>
      <c r="C104" s="380"/>
      <c r="D104" s="191" t="s">
        <v>24</v>
      </c>
    </row>
    <row r="105" spans="1:4" s="50" customFormat="1" ht="30.75" customHeight="1">
      <c r="A105" s="108" t="s">
        <v>3</v>
      </c>
      <c r="B105" s="393" t="s">
        <v>288</v>
      </c>
      <c r="C105" s="393"/>
      <c r="D105" s="49"/>
    </row>
    <row r="106" spans="1:4">
      <c r="A106" s="380" t="s">
        <v>29</v>
      </c>
      <c r="B106" s="380"/>
      <c r="C106" s="380"/>
      <c r="D106" s="9">
        <f>SUM(D105:D105)</f>
        <v>0</v>
      </c>
    </row>
    <row r="108" spans="1:4">
      <c r="A108" s="379" t="s">
        <v>109</v>
      </c>
      <c r="B108" s="379"/>
      <c r="C108" s="379"/>
      <c r="D108" s="379"/>
    </row>
    <row r="109" spans="1:4">
      <c r="A109" s="6" t="s">
        <v>85</v>
      </c>
      <c r="B109" s="377" t="s">
        <v>86</v>
      </c>
      <c r="C109" s="378"/>
      <c r="D109" s="18">
        <f>+D95</f>
        <v>0</v>
      </c>
    </row>
    <row r="110" spans="1:4">
      <c r="A110" s="6" t="s">
        <v>99</v>
      </c>
      <c r="B110" s="377" t="s">
        <v>92</v>
      </c>
      <c r="C110" s="378"/>
      <c r="D110" s="18">
        <f>+D102</f>
        <v>0</v>
      </c>
    </row>
    <row r="111" spans="1:4">
      <c r="A111" s="74"/>
      <c r="B111" s="405" t="s">
        <v>110</v>
      </c>
      <c r="C111" s="406"/>
      <c r="D111" s="73">
        <f>+D110+D109</f>
        <v>0</v>
      </c>
    </row>
    <row r="112" spans="1:4">
      <c r="A112" s="6" t="s">
        <v>91</v>
      </c>
      <c r="B112" s="377" t="s">
        <v>100</v>
      </c>
      <c r="C112" s="378"/>
      <c r="D112" s="18">
        <f>+D106</f>
        <v>0</v>
      </c>
    </row>
    <row r="113" spans="1:4">
      <c r="A113" s="379" t="s">
        <v>29</v>
      </c>
      <c r="B113" s="379"/>
      <c r="C113" s="379"/>
      <c r="D113" s="71">
        <f>+D112+D111</f>
        <v>0</v>
      </c>
    </row>
    <row r="115" spans="1:4">
      <c r="A115" s="409" t="s">
        <v>151</v>
      </c>
      <c r="B115" s="409"/>
      <c r="C115" s="409"/>
      <c r="D115" s="409"/>
    </row>
    <row r="117" spans="1:4">
      <c r="A117" s="13">
        <v>5</v>
      </c>
      <c r="B117" s="380" t="s">
        <v>152</v>
      </c>
      <c r="C117" s="380"/>
      <c r="D117" s="191" t="s">
        <v>24</v>
      </c>
    </row>
    <row r="118" spans="1:4">
      <c r="A118" s="6" t="s">
        <v>3</v>
      </c>
      <c r="B118" s="323" t="s">
        <v>153</v>
      </c>
      <c r="C118" s="323"/>
      <c r="D118" s="8">
        <f>+Uniforme!G165</f>
        <v>0</v>
      </c>
    </row>
    <row r="119" spans="1:4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>
      <c r="A120" s="6" t="s">
        <v>4</v>
      </c>
      <c r="B120" s="323" t="s">
        <v>154</v>
      </c>
      <c r="C120" s="323"/>
      <c r="D120" s="8"/>
    </row>
    <row r="121" spans="1:4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>
      <c r="A122" s="6" t="s">
        <v>5</v>
      </c>
      <c r="B122" s="323" t="s">
        <v>155</v>
      </c>
      <c r="C122" s="323"/>
      <c r="D122" s="8">
        <f>+Uniforme!F172</f>
        <v>0</v>
      </c>
    </row>
    <row r="123" spans="1:4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>
      <c r="A124" s="6" t="s">
        <v>6</v>
      </c>
      <c r="B124" s="323" t="s">
        <v>36</v>
      </c>
      <c r="C124" s="323"/>
      <c r="D124" s="8"/>
    </row>
    <row r="125" spans="1:4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>
      <c r="A126" s="380" t="s">
        <v>29</v>
      </c>
      <c r="B126" s="380"/>
      <c r="C126" s="380"/>
      <c r="D126" s="9">
        <f>SUM(D118:D124)</f>
        <v>0</v>
      </c>
    </row>
    <row r="128" spans="1:4">
      <c r="A128" s="409" t="s">
        <v>156</v>
      </c>
      <c r="B128" s="409"/>
      <c r="C128" s="409"/>
      <c r="D128" s="409"/>
    </row>
    <row r="130" spans="1:4">
      <c r="A130" s="13">
        <v>6</v>
      </c>
      <c r="B130" s="14" t="s">
        <v>157</v>
      </c>
      <c r="C130" s="194" t="s">
        <v>50</v>
      </c>
      <c r="D130" s="191" t="s">
        <v>24</v>
      </c>
    </row>
    <row r="131" spans="1:4">
      <c r="A131" s="116" t="s">
        <v>3</v>
      </c>
      <c r="B131" s="116" t="s">
        <v>158</v>
      </c>
      <c r="C131" s="114">
        <v>0.03</v>
      </c>
      <c r="D131" s="301">
        <f>($D$126+$D$113+$D$81+$D$70+$D$25)*C131</f>
        <v>0</v>
      </c>
    </row>
    <row r="132" spans="1:4">
      <c r="A132" s="116" t="s">
        <v>4</v>
      </c>
      <c r="B132" s="116" t="s">
        <v>159</v>
      </c>
      <c r="C132" s="114">
        <v>0.03</v>
      </c>
      <c r="D132" s="301">
        <f>($D$126+$D$113+$D$81+$D$70+$D$25+D131)*C132</f>
        <v>0</v>
      </c>
    </row>
    <row r="133" spans="1:4" s="79" customFormat="1">
      <c r="A133" s="381" t="s">
        <v>181</v>
      </c>
      <c r="B133" s="382"/>
      <c r="C133" s="383"/>
      <c r="D133" s="81">
        <f>++D132+D131+D126+D113+D81+D70+D25</f>
        <v>0</v>
      </c>
    </row>
    <row r="134" spans="1:4" s="79" customFormat="1">
      <c r="A134" s="384" t="s">
        <v>182</v>
      </c>
      <c r="B134" s="385"/>
      <c r="C134" s="386"/>
      <c r="D134" s="81">
        <f>ROUND(D133/(1-(C137+C138+C140+C142+C143)),2)</f>
        <v>0</v>
      </c>
    </row>
    <row r="135" spans="1:4">
      <c r="A135" s="6" t="s">
        <v>5</v>
      </c>
      <c r="B135" s="6" t="s">
        <v>160</v>
      </c>
      <c r="C135" s="17"/>
      <c r="D135" s="6"/>
    </row>
    <row r="136" spans="1:4">
      <c r="A136" s="6" t="s">
        <v>161</v>
      </c>
      <c r="B136" s="6" t="s">
        <v>162</v>
      </c>
      <c r="C136" s="17"/>
      <c r="D136" s="6"/>
    </row>
    <row r="137" spans="1:4">
      <c r="A137" s="116" t="s">
        <v>163</v>
      </c>
      <c r="B137" s="116" t="s">
        <v>165</v>
      </c>
      <c r="C137" s="114">
        <v>6.4999999999999997E-3</v>
      </c>
      <c r="D137" s="301">
        <f>ROUND(C137*$D$134,2)</f>
        <v>0</v>
      </c>
    </row>
    <row r="138" spans="1:4">
      <c r="A138" s="116" t="s">
        <v>164</v>
      </c>
      <c r="B138" s="116" t="s">
        <v>166</v>
      </c>
      <c r="C138" s="114">
        <v>0.03</v>
      </c>
      <c r="D138" s="301">
        <f>ROUND(C138*$D$134,2)</f>
        <v>0</v>
      </c>
    </row>
    <row r="139" spans="1:4">
      <c r="A139" s="6" t="s">
        <v>167</v>
      </c>
      <c r="B139" s="6" t="s">
        <v>168</v>
      </c>
      <c r="C139" s="17"/>
      <c r="D139" s="18"/>
    </row>
    <row r="140" spans="1:4">
      <c r="A140" s="6" t="s">
        <v>170</v>
      </c>
      <c r="B140" s="6" t="s">
        <v>169</v>
      </c>
      <c r="C140" s="17"/>
      <c r="D140" s="6"/>
    </row>
    <row r="141" spans="1:4">
      <c r="A141" s="6" t="s">
        <v>171</v>
      </c>
      <c r="B141" s="6" t="s">
        <v>172</v>
      </c>
      <c r="C141" s="17"/>
      <c r="D141" s="6"/>
    </row>
    <row r="142" spans="1:4">
      <c r="A142" s="116" t="s">
        <v>173</v>
      </c>
      <c r="B142" s="116" t="s">
        <v>174</v>
      </c>
      <c r="C142" s="114">
        <v>0.05</v>
      </c>
      <c r="D142" s="301">
        <f>ROUND(C142*$D$134,2)</f>
        <v>0</v>
      </c>
    </row>
    <row r="143" spans="1:4">
      <c r="A143" s="6" t="s">
        <v>175</v>
      </c>
      <c r="B143" s="6" t="s">
        <v>176</v>
      </c>
      <c r="C143" s="17"/>
      <c r="D143" s="6"/>
    </row>
    <row r="144" spans="1:4">
      <c r="A144" s="373" t="s">
        <v>29</v>
      </c>
      <c r="B144" s="374"/>
      <c r="C144" s="80">
        <f>+C143+C142+C140+C138+C137+C132+C131</f>
        <v>0.14650000000000002</v>
      </c>
      <c r="D144" s="9">
        <f>+D142+D140+D138+D137+D132+D131</f>
        <v>0</v>
      </c>
    </row>
    <row r="146" spans="1:4">
      <c r="A146" s="437" t="s">
        <v>183</v>
      </c>
      <c r="B146" s="437"/>
      <c r="C146" s="437"/>
      <c r="D146" s="437"/>
    </row>
    <row r="147" spans="1:4">
      <c r="A147" s="6" t="s">
        <v>3</v>
      </c>
      <c r="B147" s="375" t="s">
        <v>185</v>
      </c>
      <c r="C147" s="375"/>
      <c r="D147" s="8">
        <f>+D25</f>
        <v>0</v>
      </c>
    </row>
    <row r="148" spans="1:4">
      <c r="A148" s="6" t="s">
        <v>184</v>
      </c>
      <c r="B148" s="375" t="s">
        <v>186</v>
      </c>
      <c r="C148" s="375"/>
      <c r="D148" s="8">
        <f>+D70</f>
        <v>0</v>
      </c>
    </row>
    <row r="149" spans="1:4">
      <c r="A149" s="6" t="s">
        <v>5</v>
      </c>
      <c r="B149" s="375" t="s">
        <v>187</v>
      </c>
      <c r="C149" s="375"/>
      <c r="D149" s="8">
        <f>+D81</f>
        <v>0</v>
      </c>
    </row>
    <row r="150" spans="1:4">
      <c r="A150" s="6" t="s">
        <v>6</v>
      </c>
      <c r="B150" s="375" t="s">
        <v>188</v>
      </c>
      <c r="C150" s="375"/>
      <c r="D150" s="8">
        <f>+D113</f>
        <v>0</v>
      </c>
    </row>
    <row r="151" spans="1:4">
      <c r="A151" s="6" t="s">
        <v>25</v>
      </c>
      <c r="B151" s="375" t="s">
        <v>189</v>
      </c>
      <c r="C151" s="375"/>
      <c r="D151" s="8">
        <f>+D126</f>
        <v>0</v>
      </c>
    </row>
    <row r="152" spans="1:4">
      <c r="B152" s="417" t="s">
        <v>192</v>
      </c>
      <c r="C152" s="417"/>
      <c r="D152" s="72">
        <f>SUM(D147:D151)</f>
        <v>0</v>
      </c>
    </row>
    <row r="153" spans="1:4">
      <c r="A153" s="6" t="s">
        <v>26</v>
      </c>
      <c r="B153" s="375" t="s">
        <v>190</v>
      </c>
      <c r="C153" s="375"/>
      <c r="D153" s="8">
        <f>+D144</f>
        <v>0</v>
      </c>
    </row>
    <row r="155" spans="1:4">
      <c r="A155" s="436" t="s">
        <v>191</v>
      </c>
      <c r="B155" s="436"/>
      <c r="C155" s="436"/>
      <c r="D155" s="82">
        <f>ROUND(+D153+D152,2)</f>
        <v>0</v>
      </c>
    </row>
    <row r="157" spans="1:4">
      <c r="A157" s="419" t="s">
        <v>77</v>
      </c>
      <c r="B157" s="419"/>
      <c r="C157" s="419"/>
      <c r="D157" s="419"/>
    </row>
    <row r="159" spans="1:4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>
      <c r="A164" s="6" t="s">
        <v>81</v>
      </c>
      <c r="B164" s="34" t="s">
        <v>79</v>
      </c>
      <c r="C164" s="418" t="e">
        <f>+(D164+D165+D166)/D25</f>
        <v>#DIV/0!</v>
      </c>
      <c r="D164" s="8">
        <f>ROUND(D31*(SUM($C$39:$C$46)),2)</f>
        <v>0</v>
      </c>
    </row>
    <row r="165" spans="1:5">
      <c r="A165" s="6" t="s">
        <v>82</v>
      </c>
      <c r="B165" s="34" t="s">
        <v>78</v>
      </c>
      <c r="C165" s="418"/>
      <c r="D165" s="8">
        <f>ROUND(D33*(SUM($C$39:$C$46)),2)</f>
        <v>0</v>
      </c>
    </row>
    <row r="166" spans="1:5">
      <c r="A166" s="6" t="s">
        <v>83</v>
      </c>
      <c r="B166" s="34" t="s">
        <v>80</v>
      </c>
      <c r="C166" s="418"/>
      <c r="D166" s="8">
        <f>ROUND(D34*(SUM($C$39:$C$46)),2)</f>
        <v>0</v>
      </c>
    </row>
    <row r="167" spans="1:5">
      <c r="A167" s="388" t="s">
        <v>29</v>
      </c>
      <c r="B167" s="389"/>
      <c r="C167" s="420"/>
      <c r="D167" s="45">
        <f>SUM(D159:D166)</f>
        <v>0</v>
      </c>
    </row>
    <row r="168" spans="1:5">
      <c r="B168" s="96"/>
      <c r="C168" s="96"/>
      <c r="D168" s="96"/>
    </row>
    <row r="169" spans="1:5" s="67" customFormat="1" ht="44.25" customHeight="1">
      <c r="A169" s="414" t="s">
        <v>289</v>
      </c>
      <c r="B169" s="414"/>
      <c r="C169" s="414"/>
      <c r="D169" s="414"/>
      <c r="E169" s="128"/>
    </row>
    <row r="170" spans="1:5">
      <c r="A170" s="97"/>
      <c r="B170" s="97"/>
      <c r="C170" s="97"/>
      <c r="D170" s="97"/>
      <c r="E170" s="97"/>
    </row>
    <row r="171" spans="1:5" ht="41.25" customHeight="1">
      <c r="A171" s="415" t="s">
        <v>290</v>
      </c>
      <c r="B171" s="415"/>
      <c r="C171" s="415"/>
      <c r="D171" s="415"/>
      <c r="E171" s="97"/>
    </row>
    <row r="172" spans="1:5">
      <c r="A172" s="97"/>
      <c r="B172" s="97"/>
      <c r="C172" s="97"/>
      <c r="D172" s="97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  <row r="184" spans="1:5">
      <c r="A184" s="97"/>
      <c r="B184" s="97"/>
      <c r="C184" s="97"/>
      <c r="D184" s="97"/>
      <c r="E184" s="97"/>
    </row>
    <row r="185" spans="1:5">
      <c r="A185" s="97"/>
      <c r="B185" s="97"/>
      <c r="C185" s="97"/>
      <c r="D185" s="97"/>
      <c r="E185" s="97"/>
    </row>
  </sheetData>
  <mergeCells count="85">
    <mergeCell ref="C8:D8"/>
    <mergeCell ref="A1:D1"/>
    <mergeCell ref="A4:D4"/>
    <mergeCell ref="C5:D5"/>
    <mergeCell ref="C6:D6"/>
    <mergeCell ref="C7:D7"/>
    <mergeCell ref="A25:C25"/>
    <mergeCell ref="C9:D9"/>
    <mergeCell ref="A11:D11"/>
    <mergeCell ref="B13:C13"/>
    <mergeCell ref="B16:C16"/>
    <mergeCell ref="B17:C17"/>
    <mergeCell ref="B18:C18"/>
    <mergeCell ref="B19:C19"/>
    <mergeCell ref="B20:C20"/>
    <mergeCell ref="B22:C22"/>
    <mergeCell ref="B23:C23"/>
    <mergeCell ref="B24:C24"/>
    <mergeCell ref="B69:C69"/>
    <mergeCell ref="A27:D27"/>
    <mergeCell ref="A29:D29"/>
    <mergeCell ref="A35:C35"/>
    <mergeCell ref="A37:D37"/>
    <mergeCell ref="A49:D49"/>
    <mergeCell ref="B61:C61"/>
    <mergeCell ref="A63:B63"/>
    <mergeCell ref="A65:D65"/>
    <mergeCell ref="B66:C66"/>
    <mergeCell ref="B67:C67"/>
    <mergeCell ref="B68:C68"/>
    <mergeCell ref="B92:C92"/>
    <mergeCell ref="A70:C70"/>
    <mergeCell ref="A72:D72"/>
    <mergeCell ref="A81:C81"/>
    <mergeCell ref="A83:D83"/>
    <mergeCell ref="A85:D85"/>
    <mergeCell ref="B86:C86"/>
    <mergeCell ref="B87:C87"/>
    <mergeCell ref="B88:C88"/>
    <mergeCell ref="B89:C89"/>
    <mergeCell ref="B90:C90"/>
    <mergeCell ref="B91:C91"/>
    <mergeCell ref="A106:C106"/>
    <mergeCell ref="B93:C93"/>
    <mergeCell ref="B94:C94"/>
    <mergeCell ref="A95:C95"/>
    <mergeCell ref="B97:C97"/>
    <mergeCell ref="B98:C98"/>
    <mergeCell ref="B99:C99"/>
    <mergeCell ref="B100:C100"/>
    <mergeCell ref="B101:C101"/>
    <mergeCell ref="A102:C102"/>
    <mergeCell ref="B104:C104"/>
    <mergeCell ref="B105:C105"/>
    <mergeCell ref="B124:C124"/>
    <mergeCell ref="A108:D108"/>
    <mergeCell ref="B109:C109"/>
    <mergeCell ref="B110:C110"/>
    <mergeCell ref="B111:C111"/>
    <mergeCell ref="B112:C112"/>
    <mergeCell ref="A113:C113"/>
    <mergeCell ref="A115:D115"/>
    <mergeCell ref="B117:C117"/>
    <mergeCell ref="B118:C118"/>
    <mergeCell ref="B120:C120"/>
    <mergeCell ref="B122:C122"/>
    <mergeCell ref="B152:C152"/>
    <mergeCell ref="A126:C126"/>
    <mergeCell ref="A128:D128"/>
    <mergeCell ref="A133:C133"/>
    <mergeCell ref="A134:C134"/>
    <mergeCell ref="A144:B144"/>
    <mergeCell ref="A146:D146"/>
    <mergeCell ref="B147:C147"/>
    <mergeCell ref="B148:C148"/>
    <mergeCell ref="B149:C149"/>
    <mergeCell ref="B150:C150"/>
    <mergeCell ref="B151:C151"/>
    <mergeCell ref="A171:D171"/>
    <mergeCell ref="B153:C153"/>
    <mergeCell ref="A155:C155"/>
    <mergeCell ref="A157:D157"/>
    <mergeCell ref="C164:C166"/>
    <mergeCell ref="A167:C167"/>
    <mergeCell ref="A169:D169"/>
  </mergeCells>
  <pageMargins left="1.19" right="0.51181102362204722" top="0.34" bottom="0.56999999999999995" header="0.31496062992125984" footer="0.31496062992125984"/>
  <pageSetup paperSize="9" scale="90" orientation="portrait" r:id="rId1"/>
  <headerFoot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D244"/>
  <sheetViews>
    <sheetView workbookViewId="0">
      <selection activeCell="B24" sqref="B24"/>
    </sheetView>
  </sheetViews>
  <sheetFormatPr defaultRowHeight="12.75"/>
  <cols>
    <col min="1" max="1" width="64.5" customWidth="1"/>
    <col min="2" max="3" width="12.25" bestFit="1" customWidth="1"/>
    <col min="4" max="4" width="9.375" bestFit="1" customWidth="1"/>
    <col min="5" max="5" width="69.125" customWidth="1"/>
  </cols>
  <sheetData>
    <row r="1" spans="1:3" ht="16.5">
      <c r="A1" s="482" t="s">
        <v>368</v>
      </c>
      <c r="B1" s="482"/>
      <c r="C1" s="482"/>
    </row>
    <row r="3" spans="1:3">
      <c r="A3" s="6" t="s">
        <v>346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(365.25/12)/(7/5)</f>
        <v>21.741071428571431</v>
      </c>
    </row>
    <row r="6" spans="1:3">
      <c r="A6" s="34" t="s">
        <v>30</v>
      </c>
      <c r="B6" s="18">
        <f>+'Vigilante 44h Desarm'!D13</f>
        <v>0</v>
      </c>
    </row>
    <row r="7" spans="1:3">
      <c r="A7" s="34" t="s">
        <v>241</v>
      </c>
      <c r="B7" s="18">
        <f>+'Vigilante 44h Desarm'!D25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44h Desarm'!D13</f>
        <v>0</v>
      </c>
    </row>
    <row r="11" spans="1:3">
      <c r="A11" s="6" t="s">
        <v>31</v>
      </c>
      <c r="B11" s="52"/>
      <c r="C11" s="90">
        <f>+'Vigilante 44h Desarm'!D14</f>
        <v>0</v>
      </c>
    </row>
    <row r="12" spans="1:3">
      <c r="A12" s="6" t="s">
        <v>32</v>
      </c>
      <c r="B12" s="52"/>
      <c r="C12" s="90">
        <f>+'Vigilante 44h Desarm'!D15</f>
        <v>0</v>
      </c>
    </row>
    <row r="13" spans="1:3">
      <c r="A13" s="6" t="s">
        <v>33</v>
      </c>
      <c r="B13" s="52"/>
      <c r="C13" s="90">
        <f>+'Vigilante 44h Desarm'!D16</f>
        <v>0</v>
      </c>
    </row>
    <row r="14" spans="1:3">
      <c r="A14" s="6" t="s">
        <v>34</v>
      </c>
      <c r="B14" s="52"/>
      <c r="C14" s="90">
        <f>+'Vigilante 44h Desarm'!D17</f>
        <v>0</v>
      </c>
    </row>
    <row r="15" spans="1:3">
      <c r="A15" t="s">
        <v>65</v>
      </c>
      <c r="B15" s="52"/>
      <c r="C15" s="90">
        <f>+'Vigilante 44h Desarm'!D21</f>
        <v>0</v>
      </c>
    </row>
    <row r="16" spans="1:3">
      <c r="A16" s="6" t="s">
        <v>345</v>
      </c>
      <c r="B16" s="52"/>
      <c r="C16" s="90">
        <f>+'Vigilante 44h Desarm'!D23</f>
        <v>0</v>
      </c>
    </row>
    <row r="17" spans="1:3">
      <c r="A17" s="35" t="s">
        <v>193</v>
      </c>
      <c r="B17" s="101"/>
      <c r="C17" s="102">
        <f>SUM(C10:C16)</f>
        <v>0</v>
      </c>
    </row>
    <row r="18" spans="1:3">
      <c r="A18" s="6" t="s">
        <v>102</v>
      </c>
      <c r="B18" s="57">
        <f>+B3</f>
        <v>220</v>
      </c>
      <c r="C18" s="54"/>
    </row>
    <row r="19" spans="1:3">
      <c r="A19" s="35" t="s">
        <v>103</v>
      </c>
      <c r="B19" s="101"/>
      <c r="C19" s="36">
        <f>+C17/B18</f>
        <v>0</v>
      </c>
    </row>
    <row r="20" spans="1:3">
      <c r="A20" s="6" t="s">
        <v>197</v>
      </c>
      <c r="B20" s="6">
        <v>12</v>
      </c>
      <c r="C20" s="54"/>
    </row>
    <row r="21" spans="1:3">
      <c r="A21" s="6" t="s">
        <v>198</v>
      </c>
      <c r="B21" s="6">
        <f>44/5</f>
        <v>8.8000000000000007</v>
      </c>
      <c r="C21" s="54"/>
    </row>
    <row r="22" spans="1:3">
      <c r="A22" s="6" t="s">
        <v>199</v>
      </c>
      <c r="B22" s="6">
        <f>+B21*B20</f>
        <v>105.60000000000001</v>
      </c>
      <c r="C22" s="8">
        <f>+B22*C19</f>
        <v>0</v>
      </c>
    </row>
    <row r="23" spans="1:3">
      <c r="A23" s="6" t="s">
        <v>200</v>
      </c>
      <c r="B23" s="17">
        <v>1</v>
      </c>
      <c r="C23" s="8">
        <f>+B23*C22</f>
        <v>0</v>
      </c>
    </row>
    <row r="24" spans="1:3">
      <c r="A24" s="6" t="s">
        <v>201</v>
      </c>
      <c r="B24" s="17">
        <v>1</v>
      </c>
      <c r="C24" s="8">
        <f>+B24*C23</f>
        <v>0</v>
      </c>
    </row>
    <row r="25" spans="1:3">
      <c r="A25" s="6" t="s">
        <v>202</v>
      </c>
      <c r="B25" s="6">
        <v>12</v>
      </c>
      <c r="C25" s="91"/>
    </row>
    <row r="26" spans="1:3">
      <c r="A26" s="431" t="s">
        <v>203</v>
      </c>
      <c r="B26" s="432"/>
      <c r="C26" s="45">
        <f>+C24/B25</f>
        <v>0</v>
      </c>
    </row>
    <row r="27" spans="1:3">
      <c r="C27" s="15"/>
    </row>
    <row r="28" spans="1:3">
      <c r="A28" s="434" t="s">
        <v>210</v>
      </c>
      <c r="B28" s="434"/>
      <c r="C28" s="434"/>
    </row>
    <row r="29" spans="1:3">
      <c r="A29" s="6" t="s">
        <v>103</v>
      </c>
      <c r="B29" s="52"/>
      <c r="C29" s="90">
        <v>0</v>
      </c>
    </row>
    <row r="30" spans="1:3">
      <c r="A30" s="6" t="s">
        <v>199</v>
      </c>
      <c r="B30" s="6">
        <v>192</v>
      </c>
      <c r="C30" s="54"/>
    </row>
    <row r="31" spans="1:3">
      <c r="A31" s="6" t="s">
        <v>204</v>
      </c>
      <c r="B31" s="6">
        <f>+$B$4</f>
        <v>365.25</v>
      </c>
      <c r="C31" s="54"/>
    </row>
    <row r="32" spans="1:3">
      <c r="A32" s="6" t="s">
        <v>197</v>
      </c>
      <c r="B32" s="6">
        <v>12</v>
      </c>
      <c r="C32" s="54"/>
    </row>
    <row r="33" spans="1:3">
      <c r="A33" s="6" t="s">
        <v>200</v>
      </c>
      <c r="B33" s="17">
        <v>1</v>
      </c>
      <c r="C33" s="54"/>
    </row>
    <row r="34" spans="1:3">
      <c r="A34" s="6" t="s">
        <v>205</v>
      </c>
      <c r="B34" s="92">
        <f>ROUND(((B31/7)*6)-B32,2)</f>
        <v>301.07</v>
      </c>
      <c r="C34" s="54"/>
    </row>
    <row r="35" spans="1:3">
      <c r="A35" s="6" t="s">
        <v>206</v>
      </c>
      <c r="B35" s="34">
        <v>12</v>
      </c>
      <c r="C35" s="54"/>
    </row>
    <row r="36" spans="1:3" ht="25.5">
      <c r="A36" s="30" t="s">
        <v>207</v>
      </c>
      <c r="B36" s="6">
        <f>+((B30/B35)*B33)/B34</f>
        <v>5.3143787159132427E-2</v>
      </c>
      <c r="C36" s="54"/>
    </row>
    <row r="37" spans="1:3">
      <c r="A37" s="24" t="s">
        <v>208</v>
      </c>
      <c r="B37" s="24"/>
      <c r="C37" s="45">
        <f>+C29*(B31-B34)*B36</f>
        <v>0</v>
      </c>
    </row>
    <row r="38" spans="1:3">
      <c r="C38" s="15"/>
    </row>
    <row r="39" spans="1:3">
      <c r="A39" s="434" t="s">
        <v>344</v>
      </c>
      <c r="B39" s="434"/>
      <c r="C39" s="434"/>
    </row>
    <row r="40" spans="1:3">
      <c r="A40" s="6" t="s">
        <v>30</v>
      </c>
      <c r="B40" s="52"/>
      <c r="C40" s="90">
        <v>0</v>
      </c>
    </row>
    <row r="41" spans="1:3">
      <c r="A41" s="6" t="s">
        <v>102</v>
      </c>
      <c r="B41" s="57">
        <f>+B3</f>
        <v>220</v>
      </c>
      <c r="C41" s="54"/>
    </row>
    <row r="42" spans="1:3">
      <c r="A42" s="35" t="s">
        <v>103</v>
      </c>
      <c r="B42" s="101"/>
      <c r="C42" s="36">
        <f>+C40/B41</f>
        <v>0</v>
      </c>
    </row>
    <row r="43" spans="1:3" s="60" customFormat="1">
      <c r="A43" s="6" t="s">
        <v>352</v>
      </c>
      <c r="B43" s="17">
        <v>0.5</v>
      </c>
      <c r="C43" s="182"/>
    </row>
    <row r="44" spans="1:3" s="60" customFormat="1">
      <c r="A44" s="35" t="s">
        <v>353</v>
      </c>
      <c r="B44" s="104"/>
      <c r="C44" s="182">
        <f>+C42*(1+B43)</f>
        <v>0</v>
      </c>
    </row>
    <row r="45" spans="1:3">
      <c r="A45" s="34" t="s">
        <v>347</v>
      </c>
      <c r="B45" s="6">
        <v>8.8000000000000007</v>
      </c>
      <c r="C45" s="54"/>
    </row>
    <row r="46" spans="1:3">
      <c r="A46" s="6" t="s">
        <v>230</v>
      </c>
      <c r="B46" s="181">
        <f>+B5</f>
        <v>21.741071428571431</v>
      </c>
      <c r="C46" s="54"/>
    </row>
    <row r="47" spans="1:3">
      <c r="A47" s="34" t="s">
        <v>348</v>
      </c>
      <c r="B47" s="6">
        <v>192</v>
      </c>
      <c r="C47" s="54"/>
    </row>
    <row r="48" spans="1:3">
      <c r="A48" s="34" t="s">
        <v>349</v>
      </c>
      <c r="B48" s="6">
        <f>ROUND(+B46*B45,2)</f>
        <v>191.32</v>
      </c>
      <c r="C48" s="54"/>
    </row>
    <row r="49" spans="1:3">
      <c r="A49" s="34" t="s">
        <v>350</v>
      </c>
      <c r="B49" s="6">
        <f>+B48-B47</f>
        <v>-0.68000000000000682</v>
      </c>
      <c r="C49" s="54"/>
    </row>
    <row r="50" spans="1:3">
      <c r="A50" s="24" t="s">
        <v>351</v>
      </c>
      <c r="B50" s="24"/>
      <c r="C50" s="45">
        <f>+B49*C44</f>
        <v>0</v>
      </c>
    </row>
    <row r="51" spans="1:3">
      <c r="C51" s="15"/>
    </row>
    <row r="52" spans="1:3">
      <c r="A52" s="419" t="s">
        <v>107</v>
      </c>
      <c r="B52" s="419"/>
      <c r="C52" s="419"/>
    </row>
    <row r="53" spans="1:3">
      <c r="A53" s="55" t="s">
        <v>30</v>
      </c>
      <c r="B53" s="86"/>
      <c r="C53" s="56">
        <v>0</v>
      </c>
    </row>
    <row r="54" spans="1:3">
      <c r="A54" s="55" t="s">
        <v>31</v>
      </c>
      <c r="B54" s="58"/>
      <c r="C54" s="56">
        <f>+'Vigilante 44h Desarm'!D14</f>
        <v>0</v>
      </c>
    </row>
    <row r="55" spans="1:3">
      <c r="A55" s="55" t="s">
        <v>32</v>
      </c>
      <c r="B55" s="58"/>
      <c r="C55" s="56">
        <f>+'Vigilante 44h Desarm'!D15</f>
        <v>0</v>
      </c>
    </row>
    <row r="56" spans="1:3">
      <c r="A56" s="55" t="s">
        <v>33</v>
      </c>
      <c r="B56" s="58"/>
      <c r="C56" s="56">
        <f>+'Vigilante 44h Desarm'!D16</f>
        <v>0</v>
      </c>
    </row>
    <row r="57" spans="1:3">
      <c r="A57" s="55" t="s">
        <v>34</v>
      </c>
      <c r="B57" s="58"/>
      <c r="C57" s="56">
        <f>+'Vigilante 44h Desarm'!D17</f>
        <v>0</v>
      </c>
    </row>
    <row r="58" spans="1:3">
      <c r="A58" s="55" t="s">
        <v>35</v>
      </c>
      <c r="B58" s="58"/>
      <c r="C58" s="56">
        <f>+'Vigilante 44h Desarm'!D19</f>
        <v>0</v>
      </c>
    </row>
    <row r="59" spans="1:3">
      <c r="A59" s="55" t="s">
        <v>65</v>
      </c>
      <c r="B59" s="58"/>
      <c r="C59" s="56">
        <f>+'Vigilante 44h Desarm'!D21</f>
        <v>0</v>
      </c>
    </row>
    <row r="60" spans="1:3">
      <c r="A60" s="35" t="s">
        <v>101</v>
      </c>
      <c r="B60" s="99"/>
      <c r="C60" s="100">
        <f>SUM(C53:C59)</f>
        <v>0</v>
      </c>
    </row>
    <row r="61" spans="1:3">
      <c r="A61" s="6" t="s">
        <v>102</v>
      </c>
      <c r="B61" s="57">
        <f>+B3</f>
        <v>220</v>
      </c>
      <c r="C61" s="58"/>
    </row>
    <row r="62" spans="1:3">
      <c r="A62" s="6" t="s">
        <v>103</v>
      </c>
      <c r="B62" s="58"/>
      <c r="C62" s="59">
        <f>ROUND(+C60/B61,2)</f>
        <v>0</v>
      </c>
    </row>
    <row r="63" spans="1:3">
      <c r="A63" s="6" t="s">
        <v>229</v>
      </c>
      <c r="B63" s="51">
        <f>(365.25/12)/(7/5)</f>
        <v>21.741071428571431</v>
      </c>
      <c r="C63" s="58"/>
    </row>
    <row r="64" spans="1:3">
      <c r="A64" s="6" t="s">
        <v>105</v>
      </c>
      <c r="B64" s="17">
        <v>0.5</v>
      </c>
      <c r="C64" s="6"/>
    </row>
    <row r="65" spans="1:3">
      <c r="A65" s="431" t="s">
        <v>106</v>
      </c>
      <c r="B65" s="432"/>
      <c r="C65" s="45">
        <f>ROUND((B63*C62)*(1+B64),2)</f>
        <v>0</v>
      </c>
    </row>
    <row r="67" spans="1:3">
      <c r="A67" s="419" t="s">
        <v>212</v>
      </c>
      <c r="B67" s="419"/>
      <c r="C67" s="419"/>
    </row>
    <row r="68" spans="1:3">
      <c r="A68" s="6" t="s">
        <v>204</v>
      </c>
      <c r="B68" s="6">
        <v>365.25</v>
      </c>
      <c r="C68" s="52"/>
    </row>
    <row r="69" spans="1:3">
      <c r="A69" s="6" t="s">
        <v>206</v>
      </c>
      <c r="B69" s="34">
        <v>12</v>
      </c>
      <c r="C69" s="52"/>
    </row>
    <row r="70" spans="1:3">
      <c r="A70" s="6" t="s">
        <v>213</v>
      </c>
      <c r="B70" s="17">
        <v>1</v>
      </c>
      <c r="C70" s="52"/>
    </row>
    <row r="71" spans="1:3">
      <c r="A71" s="103" t="s">
        <v>388</v>
      </c>
      <c r="B71" s="34">
        <v>7</v>
      </c>
      <c r="C71" s="52"/>
    </row>
    <row r="72" spans="1:3">
      <c r="A72" s="34" t="s">
        <v>214</v>
      </c>
      <c r="B72" s="52"/>
      <c r="C72" s="18"/>
    </row>
    <row r="73" spans="1:3">
      <c r="A73" s="34" t="s">
        <v>31</v>
      </c>
      <c r="B73" s="52"/>
      <c r="C73" s="18"/>
    </row>
    <row r="74" spans="1:3">
      <c r="A74" s="34" t="s">
        <v>32</v>
      </c>
      <c r="B74" s="52"/>
      <c r="C74" s="18"/>
    </row>
    <row r="75" spans="1:3">
      <c r="A75" s="104" t="s">
        <v>193</v>
      </c>
      <c r="B75" s="52"/>
      <c r="C75" s="105">
        <f>SUM(C72:C74)</f>
        <v>0</v>
      </c>
    </row>
    <row r="76" spans="1:3">
      <c r="A76" s="6" t="s">
        <v>102</v>
      </c>
      <c r="B76" s="106">
        <f>+B3</f>
        <v>220</v>
      </c>
      <c r="C76" s="52"/>
    </row>
    <row r="77" spans="1:3">
      <c r="A77" s="34" t="s">
        <v>215</v>
      </c>
      <c r="B77" s="17">
        <v>0.2</v>
      </c>
      <c r="C77" s="52"/>
    </row>
    <row r="78" spans="1:3">
      <c r="A78" s="34" t="s">
        <v>216</v>
      </c>
      <c r="B78" s="52"/>
      <c r="C78" s="8">
        <f>ROUND((C75/B76)*B77,2)</f>
        <v>0</v>
      </c>
    </row>
    <row r="79" spans="1:3">
      <c r="A79" s="34" t="s">
        <v>217</v>
      </c>
      <c r="B79" s="6">
        <f>ROUND(+B68/B69*B70*B71,0)</f>
        <v>213</v>
      </c>
      <c r="C79" s="53"/>
    </row>
    <row r="80" spans="1:3">
      <c r="A80" s="435" t="s">
        <v>218</v>
      </c>
      <c r="B80" s="435"/>
      <c r="C80" s="32">
        <f>ROUND(+B79*C78,2)</f>
        <v>0</v>
      </c>
    </row>
    <row r="82" spans="1:4">
      <c r="A82" s="434" t="s">
        <v>232</v>
      </c>
      <c r="B82" s="434"/>
      <c r="C82" s="434"/>
    </row>
    <row r="83" spans="1:4">
      <c r="A83" s="6" t="s">
        <v>103</v>
      </c>
      <c r="B83" s="52"/>
      <c r="C83" s="90">
        <f>+C80</f>
        <v>0</v>
      </c>
    </row>
    <row r="84" spans="1:4">
      <c r="A84" s="6" t="s">
        <v>199</v>
      </c>
      <c r="B84" s="6">
        <v>192</v>
      </c>
      <c r="C84" s="54"/>
    </row>
    <row r="85" spans="1:4">
      <c r="A85" s="6" t="s">
        <v>204</v>
      </c>
      <c r="B85" s="6">
        <f>+$B$4</f>
        <v>365.25</v>
      </c>
      <c r="C85" s="54"/>
    </row>
    <row r="86" spans="1:4">
      <c r="A86" s="6" t="s">
        <v>197</v>
      </c>
      <c r="B86" s="6">
        <v>12</v>
      </c>
      <c r="C86" s="54"/>
    </row>
    <row r="87" spans="1:4">
      <c r="A87" s="6" t="s">
        <v>200</v>
      </c>
      <c r="B87" s="17">
        <v>1</v>
      </c>
      <c r="C87" s="54"/>
    </row>
    <row r="88" spans="1:4">
      <c r="A88" s="6" t="s">
        <v>205</v>
      </c>
      <c r="B88" s="92">
        <f>ROUND(((B85/7)*6)-B86,2)</f>
        <v>301.07</v>
      </c>
      <c r="C88" s="54"/>
    </row>
    <row r="89" spans="1:4">
      <c r="A89" s="6" t="s">
        <v>206</v>
      </c>
      <c r="B89" s="34">
        <v>12</v>
      </c>
      <c r="C89" s="54"/>
    </row>
    <row r="90" spans="1:4" ht="25.5">
      <c r="A90" s="30" t="s">
        <v>207</v>
      </c>
      <c r="B90" s="6">
        <f>+((B84/B89)*B87)/B88</f>
        <v>5.3143787159132427E-2</v>
      </c>
      <c r="C90" s="54"/>
    </row>
    <row r="91" spans="1:4">
      <c r="A91" s="24" t="s">
        <v>208</v>
      </c>
      <c r="B91" s="24"/>
      <c r="C91" s="45">
        <f>+C83/B84*(B85-B88)*B90</f>
        <v>0</v>
      </c>
    </row>
    <row r="93" spans="1:4">
      <c r="A93" s="419" t="s">
        <v>219</v>
      </c>
      <c r="B93" s="419"/>
      <c r="C93" s="419"/>
    </row>
    <row r="94" spans="1:4">
      <c r="A94" s="6" t="s">
        <v>204</v>
      </c>
      <c r="B94" s="6">
        <f>+$B$4</f>
        <v>365.25</v>
      </c>
      <c r="C94" s="52"/>
    </row>
    <row r="95" spans="1:4">
      <c r="A95" s="6" t="s">
        <v>206</v>
      </c>
      <c r="B95" s="34">
        <v>12</v>
      </c>
      <c r="C95" s="52"/>
    </row>
    <row r="96" spans="1:4">
      <c r="A96" s="6" t="s">
        <v>213</v>
      </c>
      <c r="B96" s="17">
        <v>1</v>
      </c>
      <c r="C96" s="52"/>
      <c r="D96" s="109"/>
    </row>
    <row r="97" spans="1:4">
      <c r="A97" s="103" t="s">
        <v>388</v>
      </c>
      <c r="B97" s="34">
        <v>7</v>
      </c>
      <c r="C97" s="52"/>
      <c r="D97" s="109"/>
    </row>
    <row r="98" spans="1:4">
      <c r="A98" s="34" t="s">
        <v>220</v>
      </c>
      <c r="B98" s="51">
        <f>(365.25/12)/(7/5)</f>
        <v>21.741071428571431</v>
      </c>
      <c r="C98" s="6"/>
      <c r="D98" s="109"/>
    </row>
    <row r="99" spans="1:4">
      <c r="A99" s="34" t="s">
        <v>221</v>
      </c>
      <c r="B99" s="6">
        <f>ROUND(+B98*B97,2)</f>
        <v>152.19</v>
      </c>
      <c r="C99" s="6"/>
    </row>
    <row r="100" spans="1:4">
      <c r="A100" s="34" t="s">
        <v>214</v>
      </c>
      <c r="B100" s="52"/>
      <c r="C100" s="18"/>
    </row>
    <row r="101" spans="1:4">
      <c r="A101" s="34" t="s">
        <v>31</v>
      </c>
      <c r="B101" s="52"/>
      <c r="C101" s="18"/>
    </row>
    <row r="102" spans="1:4">
      <c r="A102" s="34" t="s">
        <v>32</v>
      </c>
      <c r="B102" s="52"/>
      <c r="C102" s="18"/>
    </row>
    <row r="103" spans="1:4">
      <c r="A103" s="104" t="s">
        <v>193</v>
      </c>
      <c r="B103" s="52"/>
      <c r="C103" s="105">
        <f>SUM(C100:C102)</f>
        <v>0</v>
      </c>
      <c r="D103" s="88"/>
    </row>
    <row r="104" spans="1:4">
      <c r="A104" s="6" t="s">
        <v>102</v>
      </c>
      <c r="B104" s="106">
        <f>+B3</f>
        <v>220</v>
      </c>
      <c r="C104" s="52"/>
    </row>
    <row r="105" spans="1:4">
      <c r="A105" s="34" t="s">
        <v>215</v>
      </c>
      <c r="B105" s="17">
        <v>0.2</v>
      </c>
      <c r="C105" s="52"/>
    </row>
    <row r="106" spans="1:4">
      <c r="A106" s="34" t="s">
        <v>216</v>
      </c>
      <c r="B106" s="52"/>
      <c r="C106" s="8">
        <f>ROUND((C103/B104)*B105,2)</f>
        <v>0</v>
      </c>
    </row>
    <row r="107" spans="1:4">
      <c r="A107" s="34" t="s">
        <v>223</v>
      </c>
      <c r="B107" s="6">
        <v>60</v>
      </c>
      <c r="C107" s="52"/>
    </row>
    <row r="108" spans="1:4">
      <c r="A108" s="34" t="s">
        <v>222</v>
      </c>
      <c r="B108" s="6">
        <v>52.5</v>
      </c>
      <c r="C108" s="52"/>
    </row>
    <row r="109" spans="1:4">
      <c r="A109" s="34" t="s">
        <v>224</v>
      </c>
      <c r="B109" s="6">
        <f>+B107/B108</f>
        <v>1.1428571428571428</v>
      </c>
      <c r="C109" s="52"/>
    </row>
    <row r="110" spans="1:4">
      <c r="A110" s="34" t="s">
        <v>225</v>
      </c>
      <c r="B110" s="6">
        <f>ROUND(+B109*B99,2)</f>
        <v>173.93</v>
      </c>
      <c r="C110" s="52"/>
    </row>
    <row r="111" spans="1:4">
      <c r="A111" s="34" t="s">
        <v>226</v>
      </c>
      <c r="B111" s="6">
        <f>ROUND(B110-B99,2)</f>
        <v>21.74</v>
      </c>
      <c r="C111" s="53"/>
    </row>
    <row r="112" spans="1:4">
      <c r="A112" s="379" t="s">
        <v>227</v>
      </c>
      <c r="B112" s="379"/>
      <c r="C112" s="71">
        <f>+B111*C106</f>
        <v>0</v>
      </c>
    </row>
    <row r="114" spans="1:3">
      <c r="A114" s="419" t="s">
        <v>233</v>
      </c>
      <c r="B114" s="419"/>
      <c r="C114" s="419"/>
    </row>
    <row r="115" spans="1:3">
      <c r="A115" s="6" t="s">
        <v>204</v>
      </c>
      <c r="B115" s="6">
        <f>+$B$4</f>
        <v>365.25</v>
      </c>
      <c r="C115" s="52"/>
    </row>
    <row r="116" spans="1:3">
      <c r="A116" s="6" t="s">
        <v>206</v>
      </c>
      <c r="B116" s="34">
        <v>12</v>
      </c>
      <c r="C116" s="52"/>
    </row>
    <row r="117" spans="1:3">
      <c r="A117" s="6" t="s">
        <v>213</v>
      </c>
      <c r="B117" s="17">
        <v>1</v>
      </c>
      <c r="C117" s="52"/>
    </row>
    <row r="118" spans="1:3">
      <c r="A118" s="34" t="s">
        <v>234</v>
      </c>
      <c r="B118" s="181">
        <f>+B5</f>
        <v>21.741071428571431</v>
      </c>
      <c r="C118" s="52"/>
    </row>
    <row r="119" spans="1:3">
      <c r="A119" s="198" t="s">
        <v>235</v>
      </c>
      <c r="B119" s="199"/>
      <c r="C119" s="52"/>
    </row>
    <row r="120" spans="1:3">
      <c r="A120" s="6" t="s">
        <v>236</v>
      </c>
      <c r="B120" s="17">
        <v>0.06</v>
      </c>
      <c r="C120" s="52"/>
    </row>
    <row r="121" spans="1:3">
      <c r="A121" s="431" t="s">
        <v>237</v>
      </c>
      <c r="B121" s="432"/>
      <c r="C121" s="45">
        <f>ROUND((B118*(B119*2)-($B$6*B120)),2)</f>
        <v>0</v>
      </c>
    </row>
    <row r="123" spans="1:3">
      <c r="A123" s="419" t="s">
        <v>238</v>
      </c>
      <c r="B123" s="419"/>
      <c r="C123" s="419"/>
    </row>
    <row r="124" spans="1:3">
      <c r="A124" s="6" t="s">
        <v>204</v>
      </c>
      <c r="B124" s="6">
        <f>+$B$4</f>
        <v>365.25</v>
      </c>
      <c r="C124" s="52"/>
    </row>
    <row r="125" spans="1:3">
      <c r="A125" s="6" t="s">
        <v>206</v>
      </c>
      <c r="B125" s="34">
        <v>12</v>
      </c>
      <c r="C125" s="52"/>
    </row>
    <row r="126" spans="1:3">
      <c r="A126" s="6" t="s">
        <v>213</v>
      </c>
      <c r="B126" s="17">
        <v>1</v>
      </c>
      <c r="C126" s="52"/>
    </row>
    <row r="127" spans="1:3">
      <c r="A127" s="34" t="s">
        <v>234</v>
      </c>
      <c r="B127" s="181">
        <f>+B5</f>
        <v>21.741071428571431</v>
      </c>
      <c r="C127" s="52"/>
    </row>
    <row r="128" spans="1:3">
      <c r="A128" s="198" t="s">
        <v>239</v>
      </c>
      <c r="B128" s="199"/>
      <c r="C128" s="52"/>
    </row>
    <row r="129" spans="1:3">
      <c r="A129" s="6" t="s">
        <v>367</v>
      </c>
      <c r="B129" s="17">
        <v>0.2</v>
      </c>
      <c r="C129" s="52"/>
    </row>
    <row r="130" spans="1:3">
      <c r="A130" s="431" t="s">
        <v>239</v>
      </c>
      <c r="B130" s="432"/>
      <c r="C130" s="45">
        <f>ROUND((B127*(B128)-((B127*B128)*B129)),2)</f>
        <v>0</v>
      </c>
    </row>
    <row r="132" spans="1:3">
      <c r="A132" s="419" t="s">
        <v>240</v>
      </c>
      <c r="B132" s="419"/>
      <c r="C132" s="419"/>
    </row>
    <row r="133" spans="1:3">
      <c r="A133" s="6" t="s">
        <v>242</v>
      </c>
      <c r="B133" s="18">
        <f>+B7</f>
        <v>0</v>
      </c>
      <c r="C133" s="52"/>
    </row>
    <row r="134" spans="1:3">
      <c r="A134" s="6" t="s">
        <v>243</v>
      </c>
      <c r="B134" s="6">
        <v>12</v>
      </c>
      <c r="C134" s="52"/>
    </row>
    <row r="135" spans="1:3">
      <c r="A135" s="116" t="s">
        <v>244</v>
      </c>
      <c r="B135" s="114"/>
      <c r="C135" s="52"/>
    </row>
    <row r="136" spans="1:3">
      <c r="A136" s="379" t="s">
        <v>245</v>
      </c>
      <c r="B136" s="379"/>
      <c r="C136" s="45">
        <f>ROUND(+(B133/B134)*B135,2)</f>
        <v>0</v>
      </c>
    </row>
    <row r="138" spans="1:3">
      <c r="A138" s="426" t="s">
        <v>246</v>
      </c>
      <c r="B138" s="427"/>
      <c r="C138" s="428"/>
    </row>
    <row r="139" spans="1:3" s="60" customFormat="1">
      <c r="A139" s="117" t="s">
        <v>251</v>
      </c>
      <c r="B139" s="114">
        <f>+B135</f>
        <v>0</v>
      </c>
      <c r="C139" s="52"/>
    </row>
    <row r="140" spans="1:3">
      <c r="A140" s="6" t="s">
        <v>247</v>
      </c>
      <c r="B140" s="18">
        <f>+'Vigilante 44h Desarm'!$D$25</f>
        <v>0</v>
      </c>
      <c r="C140" s="52"/>
    </row>
    <row r="141" spans="1:3">
      <c r="A141" s="6" t="s">
        <v>46</v>
      </c>
      <c r="B141" s="18">
        <f>+'Vigilante 44h Desarm'!$D$31</f>
        <v>0</v>
      </c>
      <c r="C141" s="52"/>
    </row>
    <row r="142" spans="1:3">
      <c r="A142" s="111" t="s">
        <v>45</v>
      </c>
      <c r="B142" s="18">
        <f>+'Vigilante 44h Desarm'!$D$33</f>
        <v>0</v>
      </c>
      <c r="C142" s="52"/>
    </row>
    <row r="143" spans="1:3">
      <c r="A143" s="111" t="s">
        <v>44</v>
      </c>
      <c r="B143" s="18">
        <f>+'Vigilante 44h Desarm'!$D$34</f>
        <v>0</v>
      </c>
      <c r="C143" s="52"/>
    </row>
    <row r="144" spans="1:3">
      <c r="A144" s="104" t="s">
        <v>248</v>
      </c>
      <c r="B144" s="105">
        <f>SUM(B140:B143)</f>
        <v>0</v>
      </c>
      <c r="C144" s="52"/>
    </row>
    <row r="145" spans="1:3">
      <c r="A145" s="25" t="s">
        <v>249</v>
      </c>
      <c r="B145" s="17">
        <v>0.4</v>
      </c>
      <c r="C145" s="52"/>
    </row>
    <row r="146" spans="1:3">
      <c r="A146" s="25" t="s">
        <v>250</v>
      </c>
      <c r="B146" s="17">
        <f>+'Vigilante 44h Desarm'!$C$46</f>
        <v>0.08</v>
      </c>
      <c r="C146" s="52"/>
    </row>
    <row r="147" spans="1:3">
      <c r="A147" s="430" t="s">
        <v>252</v>
      </c>
      <c r="B147" s="430"/>
      <c r="C147" s="73">
        <f>ROUND(+B144*B145*B146*B139,2)</f>
        <v>0</v>
      </c>
    </row>
    <row r="148" spans="1:3">
      <c r="A148" s="25" t="s">
        <v>253</v>
      </c>
      <c r="B148" s="17">
        <v>0.1</v>
      </c>
      <c r="C148" s="52"/>
    </row>
    <row r="149" spans="1:3">
      <c r="A149" s="430" t="s">
        <v>254</v>
      </c>
      <c r="B149" s="430"/>
      <c r="C149" s="112">
        <f>ROUND(B148*B146*B144*B139,2)</f>
        <v>0</v>
      </c>
    </row>
    <row r="150" spans="1:3">
      <c r="A150" s="431" t="s">
        <v>255</v>
      </c>
      <c r="B150" s="432"/>
      <c r="C150" s="71">
        <f>+C149+C147</f>
        <v>0</v>
      </c>
    </row>
    <row r="152" spans="1:3">
      <c r="A152" s="419" t="s">
        <v>256</v>
      </c>
      <c r="B152" s="419"/>
      <c r="C152" s="419"/>
    </row>
    <row r="153" spans="1:3">
      <c r="A153" s="6" t="s">
        <v>242</v>
      </c>
      <c r="B153" s="18">
        <f>+B7</f>
        <v>0</v>
      </c>
      <c r="C153" s="52"/>
    </row>
    <row r="154" spans="1:3">
      <c r="A154" s="6" t="s">
        <v>257</v>
      </c>
      <c r="B154" s="113">
        <v>30</v>
      </c>
      <c r="C154" s="52"/>
    </row>
    <row r="155" spans="1:3">
      <c r="A155" s="6" t="s">
        <v>243</v>
      </c>
      <c r="B155" s="6">
        <v>12</v>
      </c>
      <c r="C155" s="52"/>
    </row>
    <row r="156" spans="1:3">
      <c r="A156" s="6" t="s">
        <v>258</v>
      </c>
      <c r="B156" s="6">
        <v>5</v>
      </c>
      <c r="C156" s="52"/>
    </row>
    <row r="157" spans="1:3">
      <c r="A157" s="116" t="s">
        <v>294</v>
      </c>
      <c r="B157" s="114"/>
      <c r="C157" s="52"/>
    </row>
    <row r="158" spans="1:3">
      <c r="A158" s="379" t="s">
        <v>369</v>
      </c>
      <c r="B158" s="379"/>
      <c r="C158" s="45">
        <f>+ROUND(((B153/B154/B155)*B156)*B157,2)</f>
        <v>0</v>
      </c>
    </row>
    <row r="160" spans="1:3">
      <c r="A160" s="426" t="s">
        <v>259</v>
      </c>
      <c r="B160" s="427"/>
      <c r="C160" s="428"/>
    </row>
    <row r="161" spans="1:3">
      <c r="A161" s="115" t="s">
        <v>260</v>
      </c>
      <c r="B161" s="114">
        <f>+B157</f>
        <v>0</v>
      </c>
      <c r="C161" s="52"/>
    </row>
    <row r="162" spans="1:3">
      <c r="A162" s="6" t="s">
        <v>247</v>
      </c>
      <c r="B162" s="18">
        <f>+'Vigilante 44h Desarm'!$D$25</f>
        <v>0</v>
      </c>
      <c r="C162" s="52"/>
    </row>
    <row r="163" spans="1:3">
      <c r="A163" s="6" t="s">
        <v>46</v>
      </c>
      <c r="B163" s="18">
        <f>+'Vigilante 44h Desarm'!$D$31</f>
        <v>0</v>
      </c>
      <c r="C163" s="52"/>
    </row>
    <row r="164" spans="1:3">
      <c r="A164" s="111" t="s">
        <v>45</v>
      </c>
      <c r="B164" s="18">
        <f>+'Vigilante 44h Desarm'!$D$33</f>
        <v>0</v>
      </c>
      <c r="C164" s="52"/>
    </row>
    <row r="165" spans="1:3">
      <c r="A165" s="111" t="s">
        <v>44</v>
      </c>
      <c r="B165" s="18">
        <f>+'Vigilante 44h Desarm'!$D$34</f>
        <v>0</v>
      </c>
      <c r="C165" s="52"/>
    </row>
    <row r="166" spans="1:3">
      <c r="A166" s="104" t="s">
        <v>248</v>
      </c>
      <c r="B166" s="105">
        <f>SUM(B162:B165)</f>
        <v>0</v>
      </c>
      <c r="C166" s="52"/>
    </row>
    <row r="167" spans="1:3">
      <c r="A167" s="25" t="s">
        <v>249</v>
      </c>
      <c r="B167" s="17">
        <v>0.4</v>
      </c>
      <c r="C167" s="52"/>
    </row>
    <row r="168" spans="1:3">
      <c r="A168" s="25" t="s">
        <v>250</v>
      </c>
      <c r="B168" s="17">
        <f>+'Vigilante 44h Desarm'!$C$46</f>
        <v>0.08</v>
      </c>
      <c r="C168" s="52"/>
    </row>
    <row r="169" spans="1:3">
      <c r="A169" s="430" t="s">
        <v>252</v>
      </c>
      <c r="B169" s="430"/>
      <c r="C169" s="73">
        <f>ROUND(+B166*B167*B168*B161,2)</f>
        <v>0</v>
      </c>
    </row>
    <row r="170" spans="1:3">
      <c r="A170" s="25" t="s">
        <v>253</v>
      </c>
      <c r="B170" s="17">
        <v>0.1</v>
      </c>
      <c r="C170" s="52"/>
    </row>
    <row r="171" spans="1:3">
      <c r="A171" s="430" t="s">
        <v>254</v>
      </c>
      <c r="B171" s="430"/>
      <c r="C171" s="112">
        <f>ROUND(B170*B168*B166*B161,2)</f>
        <v>0</v>
      </c>
    </row>
    <row r="172" spans="1:3">
      <c r="A172" s="431" t="s">
        <v>387</v>
      </c>
      <c r="B172" s="432"/>
      <c r="C172" s="71">
        <f>+C171+C169</f>
        <v>0</v>
      </c>
    </row>
    <row r="174" spans="1:3">
      <c r="A174" s="426" t="s">
        <v>262</v>
      </c>
      <c r="B174" s="427"/>
      <c r="C174" s="428"/>
    </row>
    <row r="175" spans="1:3">
      <c r="A175" s="429" t="s">
        <v>359</v>
      </c>
      <c r="B175" s="429"/>
      <c r="C175" s="429"/>
    </row>
    <row r="176" spans="1:3">
      <c r="A176" s="429"/>
      <c r="B176" s="429"/>
      <c r="C176" s="429"/>
    </row>
    <row r="177" spans="1:3">
      <c r="A177" s="429"/>
      <c r="B177" s="429"/>
      <c r="C177" s="429"/>
    </row>
    <row r="178" spans="1:3">
      <c r="A178" s="429"/>
      <c r="B178" s="429"/>
      <c r="C178" s="429"/>
    </row>
    <row r="179" spans="1:3">
      <c r="A179" s="119"/>
      <c r="B179" s="119"/>
      <c r="C179" s="119"/>
    </row>
    <row r="180" spans="1:3">
      <c r="A180" s="422" t="s">
        <v>261</v>
      </c>
      <c r="B180" s="422"/>
      <c r="C180" s="422"/>
    </row>
    <row r="181" spans="1:3">
      <c r="A181" s="6" t="s">
        <v>263</v>
      </c>
      <c r="B181" s="18">
        <f>+$B$7</f>
        <v>0</v>
      </c>
      <c r="C181" s="52"/>
    </row>
    <row r="182" spans="1:3">
      <c r="A182" s="6" t="s">
        <v>206</v>
      </c>
      <c r="B182" s="6">
        <v>30</v>
      </c>
      <c r="C182" s="52"/>
    </row>
    <row r="183" spans="1:3">
      <c r="A183" s="6" t="s">
        <v>264</v>
      </c>
      <c r="B183" s="6">
        <v>12</v>
      </c>
      <c r="C183" s="52"/>
    </row>
    <row r="184" spans="1:3">
      <c r="A184" s="116" t="s">
        <v>265</v>
      </c>
      <c r="B184" s="116"/>
      <c r="C184" s="52"/>
    </row>
    <row r="185" spans="1:3">
      <c r="A185" s="379" t="s">
        <v>266</v>
      </c>
      <c r="B185" s="379"/>
      <c r="C185" s="24">
        <f>+ROUND((B181/B182/B183)*B184,2)</f>
        <v>0</v>
      </c>
    </row>
    <row r="187" spans="1:3">
      <c r="A187" s="422" t="s">
        <v>269</v>
      </c>
      <c r="B187" s="422"/>
      <c r="C187" s="422"/>
    </row>
    <row r="188" spans="1:3">
      <c r="A188" s="6" t="s">
        <v>263</v>
      </c>
      <c r="B188" s="18">
        <f>+$B$7</f>
        <v>0</v>
      </c>
      <c r="C188" s="52"/>
    </row>
    <row r="189" spans="1:3">
      <c r="A189" s="6" t="s">
        <v>206</v>
      </c>
      <c r="B189" s="6">
        <v>30</v>
      </c>
      <c r="C189" s="52"/>
    </row>
    <row r="190" spans="1:3">
      <c r="A190" s="6" t="s">
        <v>264</v>
      </c>
      <c r="B190" s="6">
        <v>12</v>
      </c>
      <c r="C190" s="52"/>
    </row>
    <row r="191" spans="1:3">
      <c r="A191" s="34" t="s">
        <v>267</v>
      </c>
      <c r="B191" s="6">
        <v>5</v>
      </c>
      <c r="C191" s="52"/>
    </row>
    <row r="192" spans="1:3">
      <c r="A192" s="116" t="s">
        <v>268</v>
      </c>
      <c r="B192" s="114"/>
      <c r="C192" s="52"/>
    </row>
    <row r="193" spans="1:3">
      <c r="A193" s="116" t="s">
        <v>270</v>
      </c>
      <c r="B193" s="114"/>
      <c r="C193" s="52"/>
    </row>
    <row r="194" spans="1:3">
      <c r="A194" s="379" t="s">
        <v>271</v>
      </c>
      <c r="B194" s="379"/>
      <c r="C194" s="45">
        <f>ROUND(+B188/B189/B190*B191*B192*B193,2)</f>
        <v>0</v>
      </c>
    </row>
    <row r="196" spans="1:3">
      <c r="A196" s="422" t="s">
        <v>272</v>
      </c>
      <c r="B196" s="422"/>
      <c r="C196" s="422"/>
    </row>
    <row r="197" spans="1:3">
      <c r="A197" s="6" t="s">
        <v>263</v>
      </c>
      <c r="B197" s="18">
        <f>+$B$7</f>
        <v>0</v>
      </c>
      <c r="C197" s="52"/>
    </row>
    <row r="198" spans="1:3">
      <c r="A198" s="6" t="s">
        <v>206</v>
      </c>
      <c r="B198" s="6">
        <v>30</v>
      </c>
      <c r="C198" s="52"/>
    </row>
    <row r="199" spans="1:3">
      <c r="A199" s="6" t="s">
        <v>264</v>
      </c>
      <c r="B199" s="6">
        <v>12</v>
      </c>
      <c r="C199" s="52"/>
    </row>
    <row r="200" spans="1:3">
      <c r="A200" s="34" t="s">
        <v>273</v>
      </c>
      <c r="B200" s="6">
        <v>15</v>
      </c>
      <c r="C200" s="52"/>
    </row>
    <row r="201" spans="1:3">
      <c r="A201" s="116" t="s">
        <v>274</v>
      </c>
      <c r="B201" s="114"/>
      <c r="C201" s="52"/>
    </row>
    <row r="202" spans="1:3">
      <c r="A202" s="379" t="s">
        <v>370</v>
      </c>
      <c r="B202" s="379"/>
      <c r="C202" s="45">
        <f>ROUND(+B197/B198/B199*B200*B201,2)</f>
        <v>0</v>
      </c>
    </row>
    <row r="204" spans="1:3">
      <c r="A204" s="422" t="s">
        <v>275</v>
      </c>
      <c r="B204" s="422"/>
      <c r="C204" s="422"/>
    </row>
    <row r="205" spans="1:3">
      <c r="A205" s="6" t="s">
        <v>263</v>
      </c>
      <c r="B205" s="18">
        <f>+$B$7</f>
        <v>0</v>
      </c>
      <c r="C205" s="52"/>
    </row>
    <row r="206" spans="1:3">
      <c r="A206" s="6" t="s">
        <v>206</v>
      </c>
      <c r="B206" s="6">
        <v>30</v>
      </c>
      <c r="C206" s="52"/>
    </row>
    <row r="207" spans="1:3">
      <c r="A207" s="6" t="s">
        <v>264</v>
      </c>
      <c r="B207" s="6">
        <v>12</v>
      </c>
      <c r="C207" s="52"/>
    </row>
    <row r="208" spans="1:3">
      <c r="A208" s="34" t="s">
        <v>273</v>
      </c>
      <c r="B208" s="6">
        <v>5</v>
      </c>
      <c r="C208" s="52"/>
    </row>
    <row r="209" spans="1:3">
      <c r="A209" s="116" t="s">
        <v>276</v>
      </c>
      <c r="B209" s="114"/>
      <c r="C209" s="52"/>
    </row>
    <row r="210" spans="1:3">
      <c r="A210" s="379" t="s">
        <v>371</v>
      </c>
      <c r="B210" s="379"/>
      <c r="C210" s="45">
        <f>ROUND(+B205/B206/B207*B208*B209,2)</f>
        <v>0</v>
      </c>
    </row>
    <row r="212" spans="1:3">
      <c r="A212" s="419" t="s">
        <v>108</v>
      </c>
      <c r="B212" s="419"/>
      <c r="C212" s="419"/>
    </row>
    <row r="213" spans="1:3">
      <c r="A213" s="83" t="s">
        <v>23</v>
      </c>
      <c r="B213" s="87"/>
      <c r="C213" s="18">
        <f>+'Vigilante 44h Desarm'!D25-'Vigilante 44h Desarm'!D22</f>
        <v>0</v>
      </c>
    </row>
    <row r="214" spans="1:3">
      <c r="A214" s="83" t="s">
        <v>68</v>
      </c>
      <c r="B214" s="87"/>
      <c r="C214" s="18">
        <f>+'Vigilante 44h Desarm'!D70</f>
        <v>0</v>
      </c>
    </row>
    <row r="215" spans="1:3">
      <c r="A215" s="83" t="s">
        <v>153</v>
      </c>
      <c r="B215" s="87"/>
      <c r="C215" s="18">
        <f>+'Vigilante 44h Desarm'!D118</f>
        <v>0</v>
      </c>
    </row>
    <row r="216" spans="1:3">
      <c r="A216" s="83" t="s">
        <v>86</v>
      </c>
      <c r="B216" s="87"/>
      <c r="C216" s="18">
        <f>+'Vigilante 44h Desarm'!D109</f>
        <v>0</v>
      </c>
    </row>
    <row r="217" spans="1:3">
      <c r="A217" s="83" t="s">
        <v>92</v>
      </c>
      <c r="B217" s="87"/>
      <c r="C217" s="18">
        <f>+'Vigilante 44h Desarm'!D110</f>
        <v>0</v>
      </c>
    </row>
    <row r="218" spans="1:3">
      <c r="A218" s="83" t="s">
        <v>70</v>
      </c>
      <c r="B218" s="87"/>
      <c r="C218" s="18">
        <f>+'Vigilante 44h Desarm'!D81</f>
        <v>0</v>
      </c>
    </row>
    <row r="219" spans="1:3">
      <c r="A219" s="83" t="s">
        <v>193</v>
      </c>
      <c r="B219" s="87"/>
      <c r="C219" s="18">
        <f>SUM(C213:C218)</f>
        <v>0</v>
      </c>
    </row>
    <row r="220" spans="1:3">
      <c r="A220" s="83" t="s">
        <v>102</v>
      </c>
      <c r="B220" s="84">
        <v>220</v>
      </c>
      <c r="C220" s="85"/>
    </row>
    <row r="221" spans="1:3">
      <c r="A221" s="83" t="s">
        <v>103</v>
      </c>
      <c r="B221" s="87"/>
      <c r="C221" s="18">
        <f>ROUND(C219/B220,2)</f>
        <v>0</v>
      </c>
    </row>
    <row r="222" spans="1:3">
      <c r="A222" s="6" t="s">
        <v>104</v>
      </c>
      <c r="B222" s="51">
        <f>+B5</f>
        <v>21.741071428571431</v>
      </c>
      <c r="C222" s="58"/>
    </row>
    <row r="223" spans="1:3">
      <c r="A223" s="431" t="s">
        <v>106</v>
      </c>
      <c r="B223" s="432"/>
      <c r="C223" s="71">
        <f>ROUND(+B222*C221,2)</f>
        <v>0</v>
      </c>
    </row>
    <row r="225" spans="1:3">
      <c r="A225" s="422" t="s">
        <v>277</v>
      </c>
      <c r="B225" s="422"/>
      <c r="C225" s="422"/>
    </row>
    <row r="226" spans="1:3">
      <c r="A226" s="423" t="s">
        <v>282</v>
      </c>
      <c r="B226" s="424"/>
      <c r="C226" s="425"/>
    </row>
    <row r="227" spans="1:3">
      <c r="A227" s="6" t="s">
        <v>263</v>
      </c>
      <c r="B227" s="18">
        <f>+$B$7</f>
        <v>0</v>
      </c>
      <c r="C227" s="52"/>
    </row>
    <row r="228" spans="1:3">
      <c r="A228" s="6" t="s">
        <v>281</v>
      </c>
      <c r="B228" s="18">
        <f>+B227*(1/3)</f>
        <v>0</v>
      </c>
      <c r="C228" s="52"/>
    </row>
    <row r="229" spans="1:3">
      <c r="A229" s="104" t="s">
        <v>248</v>
      </c>
      <c r="B229" s="105">
        <f>SUM(B227:B228)</f>
        <v>0</v>
      </c>
      <c r="C229" s="52"/>
    </row>
    <row r="230" spans="1:3">
      <c r="A230" s="6" t="s">
        <v>278</v>
      </c>
      <c r="B230" s="6">
        <v>4</v>
      </c>
      <c r="C230" s="52"/>
    </row>
    <row r="231" spans="1:3">
      <c r="A231" s="6" t="s">
        <v>264</v>
      </c>
      <c r="B231" s="6">
        <v>12</v>
      </c>
      <c r="C231" s="52"/>
    </row>
    <row r="232" spans="1:3">
      <c r="A232" s="116" t="s">
        <v>279</v>
      </c>
      <c r="B232" s="114"/>
      <c r="C232" s="52"/>
    </row>
    <row r="233" spans="1:3">
      <c r="A233" s="116" t="s">
        <v>280</v>
      </c>
      <c r="B233" s="114"/>
      <c r="C233" s="52"/>
    </row>
    <row r="234" spans="1:3">
      <c r="A234" s="379" t="s">
        <v>283</v>
      </c>
      <c r="B234" s="379"/>
      <c r="C234" s="45">
        <f>ROUND((((+B229*(B230/B231)/B231)*B232)*B233),2)</f>
        <v>0</v>
      </c>
    </row>
    <row r="235" spans="1:3">
      <c r="A235" s="379" t="s">
        <v>284</v>
      </c>
      <c r="B235" s="379"/>
      <c r="C235" s="379"/>
    </row>
    <row r="236" spans="1:3">
      <c r="A236" s="6" t="s">
        <v>263</v>
      </c>
      <c r="B236" s="18">
        <f>+'Vigilante 44h Desarm'!D25</f>
        <v>0</v>
      </c>
      <c r="C236" s="52"/>
    </row>
    <row r="237" spans="1:3">
      <c r="A237" s="6" t="s">
        <v>46</v>
      </c>
      <c r="B237" s="18">
        <f>+'Vigilante 44h Desarm'!D31</f>
        <v>0</v>
      </c>
      <c r="C237" s="52"/>
    </row>
    <row r="238" spans="1:3">
      <c r="A238" s="104" t="s">
        <v>248</v>
      </c>
      <c r="B238" s="105">
        <f>SUM(B236:B237)</f>
        <v>0</v>
      </c>
      <c r="C238" s="52"/>
    </row>
    <row r="239" spans="1:3">
      <c r="A239" s="6" t="s">
        <v>278</v>
      </c>
      <c r="B239" s="6">
        <v>4</v>
      </c>
      <c r="C239" s="52"/>
    </row>
    <row r="240" spans="1:3">
      <c r="A240" s="6" t="s">
        <v>264</v>
      </c>
      <c r="B240" s="6">
        <v>12</v>
      </c>
      <c r="C240" s="52"/>
    </row>
    <row r="241" spans="1:3">
      <c r="A241" s="116" t="s">
        <v>279</v>
      </c>
      <c r="B241" s="114"/>
      <c r="C241" s="52"/>
    </row>
    <row r="242" spans="1:3">
      <c r="A242" s="116" t="s">
        <v>280</v>
      </c>
      <c r="B242" s="114"/>
      <c r="C242" s="52"/>
    </row>
    <row r="243" spans="1:3">
      <c r="A243" s="34" t="s">
        <v>285</v>
      </c>
      <c r="B243" s="17">
        <f>+'Vigilante 44h Desarm'!C47</f>
        <v>0.36800000000000005</v>
      </c>
      <c r="C243" s="52"/>
    </row>
    <row r="244" spans="1:3">
      <c r="A244" s="379" t="s">
        <v>286</v>
      </c>
      <c r="B244" s="379"/>
      <c r="C244" s="71">
        <f>ROUND((((B238*(B239/B240)*B241)*B242)*B243),2)</f>
        <v>0</v>
      </c>
    </row>
  </sheetData>
  <mergeCells count="45">
    <mergeCell ref="A112:B112"/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58:B158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202:B202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34:B234"/>
    <mergeCell ref="A235:C235"/>
    <mergeCell ref="A244:B244"/>
    <mergeCell ref="A204:C204"/>
    <mergeCell ref="A210:B210"/>
    <mergeCell ref="A212:C212"/>
    <mergeCell ref="A223:B223"/>
    <mergeCell ref="A225:C225"/>
    <mergeCell ref="A226:C226"/>
  </mergeCells>
  <pageMargins left="0.78740157480314965" right="0.11811023622047245" top="0.31496062992125984" bottom="0.62" header="0.31496062992125984" footer="0.31496062992125984"/>
  <pageSetup paperSize="9" scale="90" orientation="portrait" r:id="rId1"/>
  <headerFoot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1:H174"/>
  <sheetViews>
    <sheetView workbookViewId="0">
      <selection activeCell="A14" sqref="A14:E14"/>
    </sheetView>
  </sheetViews>
  <sheetFormatPr defaultRowHeight="12.75"/>
  <cols>
    <col min="1" max="1" width="31" style="140" customWidth="1"/>
    <col min="2" max="2" width="11.375" style="140" customWidth="1"/>
    <col min="3" max="3" width="11.75" style="140" customWidth="1"/>
    <col min="4" max="4" width="13.875" style="140" customWidth="1"/>
    <col min="5" max="5" width="13.125" style="140" customWidth="1"/>
    <col min="6" max="6" width="13.25" style="140" customWidth="1"/>
    <col min="7" max="7" width="15.125" style="140" customWidth="1"/>
    <col min="8" max="8" width="10.125" style="140" bestFit="1" customWidth="1"/>
    <col min="9" max="16384" width="9" style="140"/>
  </cols>
  <sheetData>
    <row r="1" spans="1:8">
      <c r="A1" s="483" t="s">
        <v>111</v>
      </c>
      <c r="B1" s="484"/>
      <c r="C1" s="484"/>
      <c r="D1" s="484"/>
      <c r="E1" s="484"/>
      <c r="F1" s="484"/>
      <c r="G1" s="485"/>
      <c r="H1" s="132"/>
    </row>
    <row r="2" spans="1:8" s="136" customFormat="1" ht="48">
      <c r="A2" s="134" t="s">
        <v>112</v>
      </c>
      <c r="B2" s="134" t="s">
        <v>113</v>
      </c>
      <c r="C2" s="134" t="s">
        <v>114</v>
      </c>
      <c r="D2" s="134" t="s">
        <v>115</v>
      </c>
      <c r="E2" s="63" t="s">
        <v>407</v>
      </c>
      <c r="F2" s="135" t="s">
        <v>150</v>
      </c>
      <c r="G2" s="137"/>
    </row>
    <row r="3" spans="1:8">
      <c r="A3" s="65" t="s">
        <v>118</v>
      </c>
      <c r="B3" s="138">
        <v>6</v>
      </c>
      <c r="C3" s="138">
        <v>2</v>
      </c>
      <c r="D3" s="138">
        <f>+C3*2</f>
        <v>4</v>
      </c>
      <c r="E3" s="180"/>
      <c r="F3" s="139">
        <f>+(E3*D3)/12</f>
        <v>0</v>
      </c>
      <c r="G3" s="141"/>
    </row>
    <row r="4" spans="1:8">
      <c r="A4" s="65" t="s">
        <v>119</v>
      </c>
      <c r="B4" s="138">
        <v>6</v>
      </c>
      <c r="C4" s="138">
        <v>2</v>
      </c>
      <c r="D4" s="138">
        <f>+C4*2</f>
        <v>4</v>
      </c>
      <c r="E4" s="180"/>
      <c r="F4" s="139">
        <f t="shared" ref="F4:F10" si="0">+(E4*D4)/12</f>
        <v>0</v>
      </c>
      <c r="G4" s="141"/>
    </row>
    <row r="5" spans="1:8">
      <c r="A5" s="65" t="s">
        <v>120</v>
      </c>
      <c r="B5" s="138">
        <v>6</v>
      </c>
      <c r="C5" s="138">
        <v>2</v>
      </c>
      <c r="D5" s="138">
        <f>+C5*2</f>
        <v>4</v>
      </c>
      <c r="E5" s="180"/>
      <c r="F5" s="139">
        <f t="shared" si="0"/>
        <v>0</v>
      </c>
      <c r="G5" s="141"/>
    </row>
    <row r="6" spans="1:8">
      <c r="A6" s="65" t="s">
        <v>335</v>
      </c>
      <c r="B6" s="138">
        <v>12</v>
      </c>
      <c r="C6" s="138">
        <v>1</v>
      </c>
      <c r="D6" s="138">
        <v>2</v>
      </c>
      <c r="E6" s="180"/>
      <c r="F6" s="139">
        <f t="shared" si="0"/>
        <v>0</v>
      </c>
      <c r="G6" s="141"/>
    </row>
    <row r="7" spans="1:8">
      <c r="A7" s="65" t="s">
        <v>121</v>
      </c>
      <c r="B7" s="138">
        <v>12</v>
      </c>
      <c r="C7" s="138"/>
      <c r="D7" s="138">
        <v>1</v>
      </c>
      <c r="E7" s="180"/>
      <c r="F7" s="139">
        <f t="shared" si="0"/>
        <v>0</v>
      </c>
      <c r="G7" s="141"/>
    </row>
    <row r="8" spans="1:8">
      <c r="A8" s="65" t="s">
        <v>122</v>
      </c>
      <c r="B8" s="138">
        <v>12</v>
      </c>
      <c r="C8" s="138"/>
      <c r="D8" s="138">
        <v>1</v>
      </c>
      <c r="E8" s="180"/>
      <c r="F8" s="139">
        <f t="shared" si="0"/>
        <v>0</v>
      </c>
      <c r="G8" s="141"/>
    </row>
    <row r="9" spans="1:8">
      <c r="A9" s="65" t="s">
        <v>123</v>
      </c>
      <c r="B9" s="138">
        <v>12</v>
      </c>
      <c r="C9" s="138"/>
      <c r="D9" s="138">
        <v>1</v>
      </c>
      <c r="E9" s="180"/>
      <c r="F9" s="139">
        <f t="shared" si="0"/>
        <v>0</v>
      </c>
      <c r="G9" s="141"/>
    </row>
    <row r="10" spans="1:8">
      <c r="A10" s="65" t="s">
        <v>124</v>
      </c>
      <c r="B10" s="138">
        <v>12</v>
      </c>
      <c r="C10" s="138"/>
      <c r="D10" s="138">
        <v>1</v>
      </c>
      <c r="E10" s="180"/>
      <c r="F10" s="139">
        <f t="shared" si="0"/>
        <v>0</v>
      </c>
      <c r="G10" s="141"/>
    </row>
    <row r="11" spans="1:8">
      <c r="A11" s="65" t="s">
        <v>125</v>
      </c>
      <c r="B11" s="138">
        <v>6</v>
      </c>
      <c r="C11" s="138">
        <v>1</v>
      </c>
      <c r="D11" s="138"/>
      <c r="E11" s="180"/>
      <c r="F11" s="139">
        <f>+(E11)/12</f>
        <v>0</v>
      </c>
      <c r="G11" s="141"/>
    </row>
    <row r="12" spans="1:8">
      <c r="A12" s="65"/>
      <c r="B12" s="138"/>
      <c r="C12" s="138"/>
      <c r="D12" s="138"/>
      <c r="E12" s="139"/>
      <c r="F12" s="139">
        <v>0</v>
      </c>
      <c r="G12" s="142">
        <f>ROUND(SUM(F3:F11),2)</f>
        <v>0</v>
      </c>
    </row>
    <row r="13" spans="1:8">
      <c r="A13" s="143"/>
      <c r="B13" s="144"/>
      <c r="C13" s="144"/>
      <c r="D13" s="144"/>
      <c r="E13" s="144"/>
      <c r="F13" s="133"/>
      <c r="G13" s="133"/>
      <c r="H13" s="145"/>
    </row>
    <row r="14" spans="1:8">
      <c r="A14" s="486" t="s">
        <v>126</v>
      </c>
      <c r="B14" s="486"/>
      <c r="C14" s="486"/>
      <c r="D14" s="486"/>
      <c r="E14" s="486"/>
      <c r="F14" s="146"/>
      <c r="G14" s="146"/>
      <c r="H14" s="132"/>
    </row>
    <row r="15" spans="1:8" s="136" customFormat="1" ht="36">
      <c r="A15" s="147" t="s">
        <v>112</v>
      </c>
      <c r="B15" s="147" t="s">
        <v>113</v>
      </c>
      <c r="C15" s="147" t="s">
        <v>142</v>
      </c>
      <c r="D15" s="64" t="s">
        <v>407</v>
      </c>
      <c r="E15" s="135" t="s">
        <v>150</v>
      </c>
      <c r="F15" s="137"/>
      <c r="G15" s="137"/>
      <c r="H15" s="137"/>
    </row>
    <row r="16" spans="1:8">
      <c r="A16" s="65" t="s">
        <v>143</v>
      </c>
      <c r="B16" s="138">
        <v>30</v>
      </c>
      <c r="C16" s="138">
        <v>0.25</v>
      </c>
      <c r="D16" s="180"/>
      <c r="E16" s="139">
        <f>+(D16/B16)*C16</f>
        <v>0</v>
      </c>
      <c r="F16" s="132"/>
      <c r="G16" s="132"/>
      <c r="H16" s="132"/>
    </row>
    <row r="17" spans="1:8">
      <c r="A17" s="65" t="s">
        <v>144</v>
      </c>
      <c r="B17" s="138">
        <v>30</v>
      </c>
      <c r="C17" s="138">
        <v>0.25</v>
      </c>
      <c r="D17" s="180"/>
      <c r="E17" s="139">
        <f t="shared" ref="E17:E25" si="1">+(D17/B17)*C17</f>
        <v>0</v>
      </c>
      <c r="F17" s="132"/>
      <c r="G17" s="132"/>
      <c r="H17" s="132"/>
    </row>
    <row r="18" spans="1:8">
      <c r="A18" s="65" t="s">
        <v>129</v>
      </c>
      <c r="B18" s="138">
        <v>30</v>
      </c>
      <c r="C18" s="138">
        <v>1</v>
      </c>
      <c r="D18" s="180"/>
      <c r="E18" s="139">
        <f t="shared" si="1"/>
        <v>0</v>
      </c>
      <c r="F18" s="132"/>
      <c r="G18" s="132"/>
      <c r="H18" s="132"/>
    </row>
    <row r="19" spans="1:8">
      <c r="A19" s="65" t="s">
        <v>130</v>
      </c>
      <c r="B19" s="138">
        <v>30</v>
      </c>
      <c r="C19" s="138">
        <v>1</v>
      </c>
      <c r="D19" s="180"/>
      <c r="E19" s="139">
        <f t="shared" si="1"/>
        <v>0</v>
      </c>
      <c r="F19" s="132"/>
      <c r="G19" s="132"/>
      <c r="H19" s="132"/>
    </row>
    <row r="20" spans="1:8">
      <c r="A20" s="65" t="s">
        <v>145</v>
      </c>
      <c r="B20" s="138">
        <v>60</v>
      </c>
      <c r="C20" s="138">
        <v>0.25</v>
      </c>
      <c r="D20" s="180"/>
      <c r="E20" s="139">
        <f t="shared" si="1"/>
        <v>0</v>
      </c>
      <c r="F20" s="132"/>
      <c r="G20" s="132"/>
      <c r="H20" s="132"/>
    </row>
    <row r="21" spans="1:8">
      <c r="A21" s="65" t="s">
        <v>146</v>
      </c>
      <c r="B21" s="138">
        <v>120</v>
      </c>
      <c r="C21" s="138">
        <v>0.3</v>
      </c>
      <c r="D21" s="180"/>
      <c r="E21" s="139">
        <f t="shared" si="1"/>
        <v>0</v>
      </c>
      <c r="F21" s="132"/>
      <c r="G21" s="132"/>
      <c r="H21" s="132"/>
    </row>
    <row r="22" spans="1:8">
      <c r="A22" s="65" t="s">
        <v>147</v>
      </c>
      <c r="B22" s="138">
        <v>30</v>
      </c>
      <c r="C22" s="138">
        <v>0.3</v>
      </c>
      <c r="D22" s="180"/>
      <c r="E22" s="139">
        <f t="shared" si="1"/>
        <v>0</v>
      </c>
      <c r="F22" s="132"/>
      <c r="G22" s="132"/>
      <c r="H22" s="132"/>
    </row>
    <row r="23" spans="1:8">
      <c r="A23" s="65" t="s">
        <v>148</v>
      </c>
      <c r="B23" s="138">
        <v>30</v>
      </c>
      <c r="C23" s="138">
        <v>0.3</v>
      </c>
      <c r="D23" s="180"/>
      <c r="E23" s="139">
        <f t="shared" si="1"/>
        <v>0</v>
      </c>
      <c r="F23" s="132"/>
      <c r="G23" s="132"/>
      <c r="H23" s="132"/>
    </row>
    <row r="24" spans="1:8">
      <c r="A24" s="65" t="s">
        <v>149</v>
      </c>
      <c r="B24" s="138">
        <v>24</v>
      </c>
      <c r="C24" s="138">
        <v>0.3</v>
      </c>
      <c r="D24" s="180"/>
      <c r="E24" s="139">
        <f t="shared" si="1"/>
        <v>0</v>
      </c>
      <c r="F24" s="132"/>
      <c r="G24" s="132"/>
      <c r="H24" s="132"/>
    </row>
    <row r="25" spans="1:8">
      <c r="A25" s="65" t="s">
        <v>141</v>
      </c>
      <c r="B25" s="138">
        <v>60</v>
      </c>
      <c r="C25" s="138">
        <v>0.5</v>
      </c>
      <c r="D25" s="180"/>
      <c r="E25" s="139">
        <f t="shared" si="1"/>
        <v>0</v>
      </c>
      <c r="F25" s="132"/>
      <c r="G25" s="132"/>
      <c r="H25" s="132"/>
    </row>
    <row r="26" spans="1:8">
      <c r="A26" s="65" t="s">
        <v>136</v>
      </c>
      <c r="B26" s="138">
        <v>60</v>
      </c>
      <c r="C26" s="138">
        <v>1</v>
      </c>
      <c r="D26" s="180"/>
      <c r="E26" s="139">
        <f>+(D26/B26)*C26</f>
        <v>0</v>
      </c>
      <c r="F26" s="132"/>
      <c r="G26" s="132"/>
      <c r="H26" s="132"/>
    </row>
    <row r="27" spans="1:8">
      <c r="A27" s="65"/>
      <c r="B27" s="138"/>
      <c r="C27" s="138"/>
      <c r="D27" s="139"/>
      <c r="E27" s="139"/>
      <c r="F27" s="142">
        <f>ROUND(SUM(E16:E26),2)</f>
        <v>0</v>
      </c>
      <c r="G27" s="132"/>
      <c r="H27" s="132"/>
    </row>
    <row r="28" spans="1:8">
      <c r="A28" s="132"/>
      <c r="B28" s="132"/>
      <c r="C28" s="132"/>
      <c r="D28" s="132"/>
      <c r="E28" s="132"/>
      <c r="F28" s="133"/>
      <c r="G28" s="133"/>
      <c r="H28" s="132"/>
    </row>
    <row r="29" spans="1:8">
      <c r="A29" s="65" t="s">
        <v>29</v>
      </c>
      <c r="B29" s="142">
        <f>+G12+F27</f>
        <v>0</v>
      </c>
      <c r="C29" s="149"/>
      <c r="D29" s="149"/>
      <c r="E29" s="132"/>
      <c r="F29" s="133"/>
      <c r="G29" s="133"/>
      <c r="H29" s="132"/>
    </row>
    <row r="30" spans="1:8">
      <c r="A30" s="132"/>
      <c r="B30" s="132"/>
      <c r="C30" s="132"/>
      <c r="D30" s="132"/>
      <c r="E30" s="303"/>
      <c r="F30" s="133"/>
      <c r="G30" s="133"/>
      <c r="H30" s="132"/>
    </row>
    <row r="31" spans="1:8" ht="28.5" customHeight="1">
      <c r="A31" s="487" t="s">
        <v>292</v>
      </c>
      <c r="B31" s="487"/>
      <c r="C31" s="487"/>
      <c r="D31" s="487"/>
      <c r="E31" s="487"/>
      <c r="F31" s="487"/>
      <c r="G31" s="487"/>
      <c r="H31" s="66"/>
    </row>
    <row r="32" spans="1:8">
      <c r="A32" s="304"/>
      <c r="B32" s="304"/>
      <c r="C32" s="304"/>
      <c r="D32" s="304"/>
      <c r="E32" s="304"/>
      <c r="F32" s="305"/>
      <c r="G32" s="305"/>
      <c r="H32" s="132"/>
    </row>
    <row r="33" spans="1:8" ht="46.5" customHeight="1">
      <c r="A33" s="487" t="s">
        <v>291</v>
      </c>
      <c r="B33" s="487"/>
      <c r="C33" s="487"/>
      <c r="D33" s="487"/>
      <c r="E33" s="487"/>
      <c r="F33" s="487"/>
      <c r="G33" s="487"/>
      <c r="H33" s="132"/>
    </row>
    <row r="34" spans="1:8">
      <c r="A34" s="132"/>
      <c r="B34" s="132"/>
      <c r="C34" s="132"/>
      <c r="D34" s="132"/>
      <c r="E34" s="132"/>
      <c r="F34" s="133"/>
      <c r="G34" s="133"/>
      <c r="H34" s="132"/>
    </row>
    <row r="35" spans="1:8">
      <c r="A35" s="132"/>
      <c r="B35" s="132"/>
      <c r="C35" s="132"/>
      <c r="D35" s="132"/>
      <c r="E35" s="132"/>
      <c r="F35" s="133"/>
      <c r="G35" s="133"/>
      <c r="H35" s="132"/>
    </row>
    <row r="36" spans="1:8">
      <c r="A36" s="483" t="s">
        <v>137</v>
      </c>
      <c r="B36" s="484"/>
      <c r="C36" s="484"/>
      <c r="D36" s="484"/>
      <c r="E36" s="484"/>
      <c r="F36" s="484"/>
      <c r="G36" s="485"/>
      <c r="H36" s="132"/>
    </row>
    <row r="37" spans="1:8" s="136" customFormat="1" ht="48">
      <c r="A37" s="134" t="s">
        <v>112</v>
      </c>
      <c r="B37" s="134" t="s">
        <v>113</v>
      </c>
      <c r="C37" s="134" t="s">
        <v>114</v>
      </c>
      <c r="D37" s="134" t="s">
        <v>115</v>
      </c>
      <c r="E37" s="63" t="s">
        <v>138</v>
      </c>
      <c r="F37" s="135" t="s">
        <v>117</v>
      </c>
      <c r="H37" s="137"/>
    </row>
    <row r="38" spans="1:8">
      <c r="A38" s="65" t="s">
        <v>118</v>
      </c>
      <c r="B38" s="138">
        <v>6</v>
      </c>
      <c r="C38" s="138">
        <f>+D38/2</f>
        <v>2</v>
      </c>
      <c r="D38" s="138">
        <v>4</v>
      </c>
      <c r="E38" s="180"/>
      <c r="F38" s="139">
        <f t="shared" ref="F38:F45" si="2">+(E38*D38)/12</f>
        <v>0</v>
      </c>
      <c r="H38" s="141"/>
    </row>
    <row r="39" spans="1:8">
      <c r="A39" s="65" t="s">
        <v>119</v>
      </c>
      <c r="B39" s="138">
        <v>6</v>
      </c>
      <c r="C39" s="138">
        <f>+D39/2</f>
        <v>2</v>
      </c>
      <c r="D39" s="138">
        <v>4</v>
      </c>
      <c r="E39" s="180"/>
      <c r="F39" s="139">
        <f t="shared" si="2"/>
        <v>0</v>
      </c>
      <c r="H39" s="141"/>
    </row>
    <row r="40" spans="1:8">
      <c r="A40" s="65" t="s">
        <v>120</v>
      </c>
      <c r="B40" s="138">
        <v>6</v>
      </c>
      <c r="C40" s="138">
        <f>+D40/2</f>
        <v>2</v>
      </c>
      <c r="D40" s="138">
        <v>4</v>
      </c>
      <c r="E40" s="180"/>
      <c r="F40" s="139">
        <f t="shared" si="2"/>
        <v>0</v>
      </c>
      <c r="H40" s="141"/>
    </row>
    <row r="41" spans="1:8">
      <c r="A41" s="65" t="s">
        <v>335</v>
      </c>
      <c r="B41" s="138">
        <v>12</v>
      </c>
      <c r="C41" s="138">
        <v>1</v>
      </c>
      <c r="D41" s="138">
        <v>2</v>
      </c>
      <c r="E41" s="180"/>
      <c r="F41" s="139">
        <f t="shared" si="2"/>
        <v>0</v>
      </c>
      <c r="H41" s="141"/>
    </row>
    <row r="42" spans="1:8">
      <c r="A42" s="65" t="s">
        <v>121</v>
      </c>
      <c r="B42" s="138">
        <v>12</v>
      </c>
      <c r="C42" s="138"/>
      <c r="D42" s="138">
        <v>1</v>
      </c>
      <c r="E42" s="180"/>
      <c r="F42" s="139">
        <f t="shared" si="2"/>
        <v>0</v>
      </c>
      <c r="H42" s="141"/>
    </row>
    <row r="43" spans="1:8">
      <c r="A43" s="65" t="s">
        <v>122</v>
      </c>
      <c r="B43" s="138">
        <v>12</v>
      </c>
      <c r="C43" s="138"/>
      <c r="D43" s="138">
        <v>1</v>
      </c>
      <c r="E43" s="180"/>
      <c r="F43" s="139">
        <f t="shared" si="2"/>
        <v>0</v>
      </c>
      <c r="H43" s="141"/>
    </row>
    <row r="44" spans="1:8">
      <c r="A44" s="65" t="s">
        <v>123</v>
      </c>
      <c r="B44" s="138">
        <v>12</v>
      </c>
      <c r="C44" s="138"/>
      <c r="D44" s="138">
        <v>1</v>
      </c>
      <c r="E44" s="180"/>
      <c r="F44" s="139">
        <f t="shared" si="2"/>
        <v>0</v>
      </c>
      <c r="H44" s="141"/>
    </row>
    <row r="45" spans="1:8">
      <c r="A45" s="65" t="s">
        <v>124</v>
      </c>
      <c r="B45" s="138">
        <v>12</v>
      </c>
      <c r="C45" s="138"/>
      <c r="D45" s="138">
        <v>1</v>
      </c>
      <c r="E45" s="180"/>
      <c r="F45" s="139">
        <f t="shared" si="2"/>
        <v>0</v>
      </c>
      <c r="H45" s="141"/>
    </row>
    <row r="46" spans="1:8">
      <c r="A46" s="65" t="s">
        <v>125</v>
      </c>
      <c r="B46" s="138">
        <v>6</v>
      </c>
      <c r="C46" s="138">
        <v>1</v>
      </c>
      <c r="D46" s="138"/>
      <c r="E46" s="180"/>
      <c r="F46" s="139">
        <f>+E46/12</f>
        <v>0</v>
      </c>
      <c r="H46" s="141"/>
    </row>
    <row r="47" spans="1:8">
      <c r="A47" s="65"/>
      <c r="B47" s="138"/>
      <c r="C47" s="138"/>
      <c r="D47" s="138"/>
      <c r="E47" s="139"/>
      <c r="F47" s="139"/>
      <c r="G47" s="142">
        <f>SUM(F38:F47)</f>
        <v>0</v>
      </c>
    </row>
    <row r="48" spans="1:8">
      <c r="A48" s="143"/>
      <c r="B48" s="144"/>
      <c r="C48" s="144"/>
      <c r="D48" s="144"/>
      <c r="E48" s="144"/>
      <c r="F48" s="133"/>
      <c r="G48" s="133"/>
      <c r="H48" s="145"/>
    </row>
    <row r="49" spans="1:8">
      <c r="A49" s="488" t="s">
        <v>139</v>
      </c>
      <c r="B49" s="489"/>
      <c r="C49" s="489"/>
      <c r="D49" s="489"/>
      <c r="E49" s="490"/>
      <c r="F49" s="146"/>
      <c r="G49" s="146"/>
      <c r="H49" s="132"/>
    </row>
    <row r="50" spans="1:8" s="136" customFormat="1" ht="24">
      <c r="A50" s="147" t="s">
        <v>112</v>
      </c>
      <c r="B50" s="147" t="s">
        <v>113</v>
      </c>
      <c r="C50" s="147" t="s">
        <v>342</v>
      </c>
      <c r="D50" s="148" t="s">
        <v>138</v>
      </c>
      <c r="E50" s="148" t="s">
        <v>117</v>
      </c>
      <c r="F50" s="137"/>
      <c r="G50" s="137"/>
      <c r="H50" s="137"/>
    </row>
    <row r="51" spans="1:8">
      <c r="A51" s="65" t="s">
        <v>127</v>
      </c>
      <c r="B51" s="138">
        <v>30</v>
      </c>
      <c r="C51" s="138">
        <v>0.25</v>
      </c>
      <c r="D51" s="180"/>
      <c r="E51" s="139">
        <f t="shared" ref="E51:E62" si="3">+(D51/B51)*C51</f>
        <v>0</v>
      </c>
      <c r="F51" s="132"/>
      <c r="G51" s="132"/>
      <c r="H51" s="132"/>
    </row>
    <row r="52" spans="1:8">
      <c r="A52" s="65" t="s">
        <v>128</v>
      </c>
      <c r="B52" s="138">
        <v>30</v>
      </c>
      <c r="C52" s="138">
        <v>0.25</v>
      </c>
      <c r="D52" s="180"/>
      <c r="E52" s="139">
        <f t="shared" si="3"/>
        <v>0</v>
      </c>
      <c r="F52" s="132"/>
      <c r="G52" s="132"/>
      <c r="H52" s="132"/>
    </row>
    <row r="53" spans="1:8">
      <c r="A53" s="65" t="s">
        <v>129</v>
      </c>
      <c r="B53" s="138">
        <v>30</v>
      </c>
      <c r="C53" s="138">
        <v>1</v>
      </c>
      <c r="D53" s="180"/>
      <c r="E53" s="139">
        <f t="shared" si="3"/>
        <v>0</v>
      </c>
      <c r="F53" s="132"/>
      <c r="G53" s="132"/>
      <c r="H53" s="132"/>
    </row>
    <row r="54" spans="1:8">
      <c r="A54" s="65" t="s">
        <v>130</v>
      </c>
      <c r="B54" s="138">
        <v>30</v>
      </c>
      <c r="C54" s="138">
        <v>1</v>
      </c>
      <c r="D54" s="180"/>
      <c r="E54" s="139">
        <f t="shared" si="3"/>
        <v>0</v>
      </c>
      <c r="F54" s="132"/>
      <c r="G54" s="132"/>
      <c r="H54" s="132"/>
    </row>
    <row r="55" spans="1:8">
      <c r="A55" s="65" t="s">
        <v>131</v>
      </c>
      <c r="B55" s="138">
        <v>60</v>
      </c>
      <c r="C55" s="138">
        <v>0.25</v>
      </c>
      <c r="D55" s="180"/>
      <c r="E55" s="139">
        <f t="shared" si="3"/>
        <v>0</v>
      </c>
      <c r="F55" s="132"/>
      <c r="G55" s="132"/>
      <c r="H55" s="132"/>
    </row>
    <row r="56" spans="1:8">
      <c r="A56" s="65" t="s">
        <v>132</v>
      </c>
      <c r="B56" s="138">
        <v>120</v>
      </c>
      <c r="C56" s="138">
        <v>0.3</v>
      </c>
      <c r="D56" s="180"/>
      <c r="E56" s="139">
        <f t="shared" si="3"/>
        <v>0</v>
      </c>
      <c r="F56" s="132"/>
      <c r="G56" s="132"/>
      <c r="H56" s="132"/>
    </row>
    <row r="57" spans="1:8">
      <c r="A57" s="65" t="s">
        <v>133</v>
      </c>
      <c r="B57" s="138">
        <v>30</v>
      </c>
      <c r="C57" s="138">
        <v>0.3</v>
      </c>
      <c r="D57" s="180"/>
      <c r="E57" s="139">
        <f t="shared" si="3"/>
        <v>0</v>
      </c>
      <c r="F57" s="132"/>
      <c r="G57" s="132"/>
      <c r="H57" s="132"/>
    </row>
    <row r="58" spans="1:8">
      <c r="A58" s="65" t="s">
        <v>134</v>
      </c>
      <c r="B58" s="138">
        <v>30</v>
      </c>
      <c r="C58" s="138">
        <v>0.3</v>
      </c>
      <c r="D58" s="180"/>
      <c r="E58" s="139">
        <f t="shared" si="3"/>
        <v>0</v>
      </c>
      <c r="F58" s="132"/>
      <c r="G58" s="132"/>
      <c r="H58" s="132"/>
    </row>
    <row r="59" spans="1:8">
      <c r="A59" s="65" t="s">
        <v>135</v>
      </c>
      <c r="B59" s="138">
        <v>60</v>
      </c>
      <c r="C59" s="138">
        <v>0.3</v>
      </c>
      <c r="D59" s="180"/>
      <c r="E59" s="139">
        <f t="shared" si="3"/>
        <v>0</v>
      </c>
      <c r="F59" s="132"/>
      <c r="G59" s="132"/>
      <c r="H59" s="132"/>
    </row>
    <row r="60" spans="1:8">
      <c r="A60" s="65" t="s">
        <v>140</v>
      </c>
      <c r="B60" s="138">
        <v>36</v>
      </c>
      <c r="C60" s="138">
        <v>0.5</v>
      </c>
      <c r="D60" s="180"/>
      <c r="E60" s="139">
        <f t="shared" si="3"/>
        <v>0</v>
      </c>
      <c r="F60" s="132"/>
      <c r="G60" s="132"/>
      <c r="H60" s="132"/>
    </row>
    <row r="61" spans="1:8">
      <c r="A61" s="65" t="s">
        <v>141</v>
      </c>
      <c r="B61" s="138">
        <v>60</v>
      </c>
      <c r="C61" s="138">
        <v>0.5</v>
      </c>
      <c r="D61" s="180"/>
      <c r="E61" s="139">
        <f t="shared" si="3"/>
        <v>0</v>
      </c>
      <c r="F61" s="132"/>
      <c r="G61" s="132"/>
      <c r="H61" s="132"/>
    </row>
    <row r="62" spans="1:8">
      <c r="A62" s="65" t="s">
        <v>136</v>
      </c>
      <c r="B62" s="138">
        <v>60</v>
      </c>
      <c r="C62" s="138">
        <v>1</v>
      </c>
      <c r="D62" s="180"/>
      <c r="E62" s="139">
        <f t="shared" si="3"/>
        <v>0</v>
      </c>
      <c r="F62" s="132"/>
      <c r="G62" s="132"/>
      <c r="H62" s="132"/>
    </row>
    <row r="63" spans="1:8">
      <c r="A63" s="65"/>
      <c r="B63" s="138"/>
      <c r="C63" s="138"/>
      <c r="D63" s="139"/>
      <c r="E63" s="139"/>
      <c r="F63" s="142">
        <f>SUM(E51:E63)</f>
        <v>0</v>
      </c>
      <c r="G63" s="132"/>
      <c r="H63" s="132"/>
    </row>
    <row r="64" spans="1:8">
      <c r="A64" s="132"/>
      <c r="B64" s="132"/>
      <c r="C64" s="132"/>
      <c r="D64" s="132"/>
      <c r="E64" s="132"/>
      <c r="F64" s="133"/>
      <c r="G64" s="133"/>
      <c r="H64" s="132"/>
    </row>
    <row r="65" spans="1:8">
      <c r="A65" s="65" t="s">
        <v>29</v>
      </c>
      <c r="B65" s="142">
        <f>+G47+F63</f>
        <v>0</v>
      </c>
      <c r="C65" s="149"/>
      <c r="D65" s="149"/>
      <c r="E65" s="132"/>
      <c r="F65" s="133"/>
      <c r="G65" s="133"/>
      <c r="H65" s="132"/>
    </row>
    <row r="66" spans="1:8">
      <c r="A66" s="132"/>
      <c r="B66" s="132"/>
      <c r="C66" s="132"/>
      <c r="D66" s="132"/>
      <c r="E66" s="132"/>
      <c r="F66" s="133"/>
      <c r="G66" s="133"/>
      <c r="H66" s="132"/>
    </row>
    <row r="67" spans="1:8" ht="28.5" customHeight="1">
      <c r="A67" s="487" t="s">
        <v>292</v>
      </c>
      <c r="B67" s="487"/>
      <c r="C67" s="487"/>
      <c r="D67" s="487"/>
      <c r="E67" s="487"/>
      <c r="F67" s="487"/>
      <c r="G67" s="487"/>
      <c r="H67" s="132"/>
    </row>
    <row r="68" spans="1:8">
      <c r="A68" s="304"/>
      <c r="B68" s="304"/>
      <c r="C68" s="304"/>
      <c r="D68" s="304"/>
      <c r="E68" s="304"/>
      <c r="F68" s="305"/>
      <c r="G68" s="305"/>
      <c r="H68" s="132"/>
    </row>
    <row r="69" spans="1:8" ht="40.5" customHeight="1">
      <c r="A69" s="487" t="s">
        <v>291</v>
      </c>
      <c r="B69" s="487"/>
      <c r="C69" s="487"/>
      <c r="D69" s="487"/>
      <c r="E69" s="487"/>
      <c r="F69" s="487"/>
      <c r="G69" s="487"/>
      <c r="H69" s="132"/>
    </row>
    <row r="71" spans="1:8">
      <c r="A71" s="483" t="s">
        <v>326</v>
      </c>
      <c r="B71" s="484"/>
      <c r="C71" s="484"/>
      <c r="D71" s="484"/>
      <c r="E71" s="484"/>
      <c r="F71" s="484"/>
      <c r="G71" s="485"/>
    </row>
    <row r="72" spans="1:8" ht="48">
      <c r="A72" s="134" t="s">
        <v>112</v>
      </c>
      <c r="B72" s="134" t="s">
        <v>113</v>
      </c>
      <c r="C72" s="134" t="s">
        <v>114</v>
      </c>
      <c r="D72" s="134" t="s">
        <v>115</v>
      </c>
      <c r="E72" s="63" t="s">
        <v>407</v>
      </c>
      <c r="F72" s="135" t="s">
        <v>150</v>
      </c>
      <c r="G72" s="137"/>
    </row>
    <row r="73" spans="1:8">
      <c r="A73" s="65" t="s">
        <v>118</v>
      </c>
      <c r="B73" s="138">
        <v>6</v>
      </c>
      <c r="C73" s="138">
        <v>2</v>
      </c>
      <c r="D73" s="138">
        <f>+C73*2</f>
        <v>4</v>
      </c>
      <c r="E73" s="180"/>
      <c r="F73" s="139">
        <f>+(E73*D73)/12</f>
        <v>0</v>
      </c>
      <c r="G73" s="141"/>
    </row>
    <row r="74" spans="1:8">
      <c r="A74" s="65" t="s">
        <v>119</v>
      </c>
      <c r="B74" s="138">
        <v>6</v>
      </c>
      <c r="C74" s="138">
        <v>2</v>
      </c>
      <c r="D74" s="138">
        <f>+C74*2</f>
        <v>4</v>
      </c>
      <c r="E74" s="180"/>
      <c r="F74" s="139">
        <f t="shared" ref="F74:F80" si="4">+(E74*D74)/12</f>
        <v>0</v>
      </c>
      <c r="G74" s="141"/>
    </row>
    <row r="75" spans="1:8">
      <c r="A75" s="65" t="s">
        <v>120</v>
      </c>
      <c r="B75" s="138">
        <v>6</v>
      </c>
      <c r="C75" s="138">
        <v>2</v>
      </c>
      <c r="D75" s="138">
        <f>+C75*2</f>
        <v>4</v>
      </c>
      <c r="E75" s="180"/>
      <c r="F75" s="139">
        <f t="shared" si="4"/>
        <v>0</v>
      </c>
      <c r="G75" s="141"/>
    </row>
    <row r="76" spans="1:8">
      <c r="A76" s="65" t="s">
        <v>335</v>
      </c>
      <c r="B76" s="138">
        <v>12</v>
      </c>
      <c r="C76" s="138">
        <v>1</v>
      </c>
      <c r="D76" s="138">
        <v>2</v>
      </c>
      <c r="E76" s="180"/>
      <c r="F76" s="139">
        <f t="shared" si="4"/>
        <v>0</v>
      </c>
      <c r="G76" s="141"/>
    </row>
    <row r="77" spans="1:8">
      <c r="A77" s="65" t="s">
        <v>121</v>
      </c>
      <c r="B77" s="138">
        <v>12</v>
      </c>
      <c r="C77" s="138"/>
      <c r="D77" s="138">
        <v>1</v>
      </c>
      <c r="E77" s="180"/>
      <c r="F77" s="139">
        <f t="shared" si="4"/>
        <v>0</v>
      </c>
      <c r="G77" s="141"/>
    </row>
    <row r="78" spans="1:8">
      <c r="A78" s="65" t="s">
        <v>122</v>
      </c>
      <c r="B78" s="138">
        <v>12</v>
      </c>
      <c r="C78" s="138"/>
      <c r="D78" s="138">
        <v>1</v>
      </c>
      <c r="E78" s="180"/>
      <c r="F78" s="139">
        <f t="shared" si="4"/>
        <v>0</v>
      </c>
      <c r="G78" s="141"/>
    </row>
    <row r="79" spans="1:8">
      <c r="A79" s="65" t="s">
        <v>123</v>
      </c>
      <c r="B79" s="138">
        <v>12</v>
      </c>
      <c r="C79" s="138"/>
      <c r="D79" s="138">
        <v>1</v>
      </c>
      <c r="E79" s="180"/>
      <c r="F79" s="139">
        <f t="shared" si="4"/>
        <v>0</v>
      </c>
      <c r="G79" s="141"/>
    </row>
    <row r="80" spans="1:8">
      <c r="A80" s="65" t="s">
        <v>124</v>
      </c>
      <c r="B80" s="138">
        <v>12</v>
      </c>
      <c r="C80" s="138"/>
      <c r="D80" s="138">
        <v>1</v>
      </c>
      <c r="E80" s="180"/>
      <c r="F80" s="139">
        <f t="shared" si="4"/>
        <v>0</v>
      </c>
      <c r="G80" s="141"/>
    </row>
    <row r="81" spans="1:7">
      <c r="A81" s="65" t="s">
        <v>125</v>
      </c>
      <c r="B81" s="138">
        <v>6</v>
      </c>
      <c r="C81" s="138">
        <v>1</v>
      </c>
      <c r="D81" s="138"/>
      <c r="E81" s="180"/>
      <c r="F81" s="139">
        <f>+(E81)/12</f>
        <v>0</v>
      </c>
      <c r="G81" s="141"/>
    </row>
    <row r="82" spans="1:7">
      <c r="A82" s="65"/>
      <c r="B82" s="138"/>
      <c r="C82" s="138"/>
      <c r="D82" s="138"/>
      <c r="E82" s="139"/>
      <c r="F82" s="139">
        <v>0</v>
      </c>
      <c r="G82" s="142">
        <f>ROUND(SUM(F73:F81),2)</f>
        <v>0</v>
      </c>
    </row>
    <row r="83" spans="1:7">
      <c r="A83" s="143"/>
      <c r="B83" s="144"/>
      <c r="C83" s="144"/>
      <c r="D83" s="144"/>
      <c r="E83" s="144"/>
      <c r="F83" s="133"/>
      <c r="G83" s="133"/>
    </row>
    <row r="84" spans="1:7">
      <c r="A84" s="486" t="s">
        <v>327</v>
      </c>
      <c r="B84" s="486"/>
      <c r="C84" s="486"/>
      <c r="D84" s="486"/>
      <c r="E84" s="486"/>
      <c r="F84" s="146"/>
      <c r="G84" s="146"/>
    </row>
    <row r="85" spans="1:7" ht="36">
      <c r="A85" s="147" t="s">
        <v>112</v>
      </c>
      <c r="B85" s="147" t="s">
        <v>113</v>
      </c>
      <c r="C85" s="147" t="s">
        <v>142</v>
      </c>
      <c r="D85" s="64" t="s">
        <v>407</v>
      </c>
      <c r="E85" s="135" t="s">
        <v>150</v>
      </c>
      <c r="F85" s="137"/>
      <c r="G85" s="137"/>
    </row>
    <row r="86" spans="1:7">
      <c r="A86" s="65" t="s">
        <v>129</v>
      </c>
      <c r="B86" s="138">
        <v>30</v>
      </c>
      <c r="C86" s="138">
        <v>1</v>
      </c>
      <c r="D86" s="180"/>
      <c r="E86" s="139">
        <f>+(D86/B86)*C86</f>
        <v>0</v>
      </c>
      <c r="F86" s="132"/>
      <c r="G86" s="132"/>
    </row>
    <row r="87" spans="1:7">
      <c r="A87" s="65" t="s">
        <v>130</v>
      </c>
      <c r="B87" s="138">
        <v>30</v>
      </c>
      <c r="C87" s="138">
        <v>1</v>
      </c>
      <c r="D87" s="180"/>
      <c r="E87" s="139">
        <f>+(D87/B87)*C87</f>
        <v>0</v>
      </c>
      <c r="F87" s="132"/>
      <c r="G87" s="132"/>
    </row>
    <row r="88" spans="1:7">
      <c r="A88" s="65" t="s">
        <v>145</v>
      </c>
      <c r="B88" s="138">
        <v>60</v>
      </c>
      <c r="C88" s="138">
        <v>0.25</v>
      </c>
      <c r="D88" s="180"/>
      <c r="E88" s="139">
        <f>+(D88/B88)*C88</f>
        <v>0</v>
      </c>
      <c r="F88" s="132"/>
      <c r="G88" s="132"/>
    </row>
    <row r="89" spans="1:7">
      <c r="A89" s="65"/>
      <c r="B89" s="138"/>
      <c r="C89" s="138"/>
      <c r="D89" s="139"/>
      <c r="E89" s="139"/>
      <c r="F89" s="142">
        <f>ROUND(SUM(E86:E88),2)</f>
        <v>0</v>
      </c>
      <c r="G89" s="132"/>
    </row>
    <row r="90" spans="1:7">
      <c r="A90" s="132"/>
      <c r="B90" s="132"/>
      <c r="C90" s="132"/>
      <c r="D90" s="132"/>
      <c r="E90" s="132"/>
      <c r="F90" s="133"/>
      <c r="G90" s="133"/>
    </row>
    <row r="91" spans="1:7">
      <c r="A91" s="65" t="s">
        <v>29</v>
      </c>
      <c r="B91" s="142">
        <f>+G82+F89</f>
        <v>0</v>
      </c>
      <c r="C91" s="149"/>
      <c r="D91" s="149"/>
      <c r="E91" s="132"/>
      <c r="F91" s="133"/>
      <c r="G91" s="133"/>
    </row>
    <row r="92" spans="1:7">
      <c r="A92" s="132"/>
      <c r="B92" s="132"/>
      <c r="C92" s="132"/>
      <c r="D92" s="132"/>
      <c r="E92" s="303"/>
      <c r="F92" s="133"/>
      <c r="G92" s="133"/>
    </row>
    <row r="93" spans="1:7" ht="31.5" customHeight="1">
      <c r="A93" s="487" t="s">
        <v>330</v>
      </c>
      <c r="B93" s="487"/>
      <c r="C93" s="487"/>
      <c r="D93" s="487"/>
      <c r="E93" s="487"/>
      <c r="F93" s="487"/>
      <c r="G93" s="487"/>
    </row>
    <row r="95" spans="1:7">
      <c r="A95" s="483" t="s">
        <v>328</v>
      </c>
      <c r="B95" s="484"/>
      <c r="C95" s="484"/>
      <c r="D95" s="484"/>
      <c r="E95" s="484"/>
      <c r="F95" s="484"/>
      <c r="G95" s="485"/>
    </row>
    <row r="96" spans="1:7" ht="48">
      <c r="A96" s="134" t="s">
        <v>112</v>
      </c>
      <c r="B96" s="134" t="s">
        <v>113</v>
      </c>
      <c r="C96" s="134" t="s">
        <v>114</v>
      </c>
      <c r="D96" s="134" t="s">
        <v>115</v>
      </c>
      <c r="E96" s="63" t="s">
        <v>138</v>
      </c>
      <c r="F96" s="135" t="s">
        <v>117</v>
      </c>
      <c r="G96" s="136"/>
    </row>
    <row r="97" spans="1:7">
      <c r="A97" s="65" t="s">
        <v>118</v>
      </c>
      <c r="B97" s="138">
        <v>6</v>
      </c>
      <c r="C97" s="138">
        <f>+D97/2</f>
        <v>2</v>
      </c>
      <c r="D97" s="138">
        <v>4</v>
      </c>
      <c r="E97" s="180"/>
      <c r="F97" s="139">
        <f t="shared" ref="F97:F104" si="5">+(E97*D97)/12</f>
        <v>0</v>
      </c>
    </row>
    <row r="98" spans="1:7">
      <c r="A98" s="65" t="s">
        <v>119</v>
      </c>
      <c r="B98" s="138">
        <v>6</v>
      </c>
      <c r="C98" s="138">
        <f>+D98/2</f>
        <v>2</v>
      </c>
      <c r="D98" s="138">
        <v>4</v>
      </c>
      <c r="E98" s="180"/>
      <c r="F98" s="139">
        <f t="shared" si="5"/>
        <v>0</v>
      </c>
    </row>
    <row r="99" spans="1:7">
      <c r="A99" s="65" t="s">
        <v>120</v>
      </c>
      <c r="B99" s="138">
        <v>6</v>
      </c>
      <c r="C99" s="138">
        <f>+D99/2</f>
        <v>2</v>
      </c>
      <c r="D99" s="138">
        <v>4</v>
      </c>
      <c r="E99" s="180"/>
      <c r="F99" s="139">
        <f t="shared" si="5"/>
        <v>0</v>
      </c>
    </row>
    <row r="100" spans="1:7">
      <c r="A100" s="65" t="s">
        <v>335</v>
      </c>
      <c r="B100" s="138">
        <v>12</v>
      </c>
      <c r="C100" s="138">
        <v>1</v>
      </c>
      <c r="D100" s="138">
        <v>2</v>
      </c>
      <c r="E100" s="180"/>
      <c r="F100" s="139">
        <f t="shared" si="5"/>
        <v>0</v>
      </c>
    </row>
    <row r="101" spans="1:7">
      <c r="A101" s="65" t="s">
        <v>121</v>
      </c>
      <c r="B101" s="138">
        <v>12</v>
      </c>
      <c r="C101" s="138"/>
      <c r="D101" s="138">
        <v>1</v>
      </c>
      <c r="E101" s="180"/>
      <c r="F101" s="139">
        <f t="shared" si="5"/>
        <v>0</v>
      </c>
    </row>
    <row r="102" spans="1:7">
      <c r="A102" s="65" t="s">
        <v>122</v>
      </c>
      <c r="B102" s="138">
        <v>12</v>
      </c>
      <c r="C102" s="138"/>
      <c r="D102" s="138">
        <v>1</v>
      </c>
      <c r="E102" s="180"/>
      <c r="F102" s="139">
        <f t="shared" si="5"/>
        <v>0</v>
      </c>
    </row>
    <row r="103" spans="1:7">
      <c r="A103" s="65" t="s">
        <v>123</v>
      </c>
      <c r="B103" s="138">
        <v>12</v>
      </c>
      <c r="C103" s="138"/>
      <c r="D103" s="138">
        <v>1</v>
      </c>
      <c r="E103" s="180"/>
      <c r="F103" s="139">
        <f t="shared" si="5"/>
        <v>0</v>
      </c>
    </row>
    <row r="104" spans="1:7">
      <c r="A104" s="65" t="s">
        <v>124</v>
      </c>
      <c r="B104" s="138">
        <v>12</v>
      </c>
      <c r="C104" s="138"/>
      <c r="D104" s="138">
        <v>1</v>
      </c>
      <c r="E104" s="180"/>
      <c r="F104" s="139">
        <f t="shared" si="5"/>
        <v>0</v>
      </c>
    </row>
    <row r="105" spans="1:7">
      <c r="A105" s="65" t="s">
        <v>125</v>
      </c>
      <c r="B105" s="138">
        <v>6</v>
      </c>
      <c r="C105" s="138">
        <v>1</v>
      </c>
      <c r="D105" s="138"/>
      <c r="E105" s="180"/>
      <c r="F105" s="139">
        <f>+E105/12</f>
        <v>0</v>
      </c>
    </row>
    <row r="106" spans="1:7">
      <c r="A106" s="65"/>
      <c r="B106" s="138"/>
      <c r="C106" s="138"/>
      <c r="D106" s="138"/>
      <c r="E106" s="139"/>
      <c r="F106" s="139"/>
      <c r="G106" s="142">
        <f>SUM(F97:F106)</f>
        <v>0</v>
      </c>
    </row>
    <row r="107" spans="1:7">
      <c r="A107" s="143"/>
      <c r="B107" s="144"/>
      <c r="C107" s="144"/>
      <c r="D107" s="144"/>
      <c r="E107" s="144"/>
      <c r="F107" s="133"/>
      <c r="G107" s="133"/>
    </row>
    <row r="108" spans="1:7">
      <c r="A108" s="488" t="s">
        <v>329</v>
      </c>
      <c r="B108" s="489"/>
      <c r="C108" s="489"/>
      <c r="D108" s="489"/>
      <c r="E108" s="490"/>
      <c r="F108" s="146"/>
      <c r="G108" s="146"/>
    </row>
    <row r="109" spans="1:7" ht="72">
      <c r="A109" s="147" t="s">
        <v>112</v>
      </c>
      <c r="B109" s="147" t="s">
        <v>113</v>
      </c>
      <c r="C109" s="147" t="s">
        <v>116</v>
      </c>
      <c r="D109" s="148" t="s">
        <v>138</v>
      </c>
      <c r="E109" s="148" t="s">
        <v>117</v>
      </c>
      <c r="F109" s="137"/>
      <c r="G109" s="137"/>
    </row>
    <row r="110" spans="1:7">
      <c r="A110" s="65" t="s">
        <v>129</v>
      </c>
      <c r="B110" s="138">
        <v>30</v>
      </c>
      <c r="C110" s="138">
        <v>1</v>
      </c>
      <c r="D110" s="180"/>
      <c r="E110" s="139">
        <f>+(D110/B110)*C110</f>
        <v>0</v>
      </c>
      <c r="F110" s="132"/>
      <c r="G110" s="132"/>
    </row>
    <row r="111" spans="1:7">
      <c r="A111" s="65" t="s">
        <v>130</v>
      </c>
      <c r="B111" s="138">
        <v>30</v>
      </c>
      <c r="C111" s="138">
        <v>1</v>
      </c>
      <c r="D111" s="180"/>
      <c r="E111" s="139">
        <f>+(D111/B111)*C111</f>
        <v>0</v>
      </c>
      <c r="F111" s="132"/>
      <c r="G111" s="132"/>
    </row>
    <row r="112" spans="1:7">
      <c r="A112" s="65" t="s">
        <v>131</v>
      </c>
      <c r="B112" s="138">
        <v>60</v>
      </c>
      <c r="C112" s="138">
        <v>0.25</v>
      </c>
      <c r="D112" s="180"/>
      <c r="E112" s="139">
        <f>+(D112/B112)*C112</f>
        <v>0</v>
      </c>
      <c r="F112" s="132"/>
      <c r="G112" s="132"/>
    </row>
    <row r="113" spans="1:7">
      <c r="A113" s="65" t="s">
        <v>140</v>
      </c>
      <c r="B113" s="138">
        <v>36</v>
      </c>
      <c r="C113" s="138">
        <v>0.5</v>
      </c>
      <c r="D113" s="180"/>
      <c r="E113" s="139">
        <f>+(D113/B113)*C113</f>
        <v>0</v>
      </c>
      <c r="F113" s="132"/>
      <c r="G113" s="132"/>
    </row>
    <row r="114" spans="1:7">
      <c r="A114" s="65"/>
      <c r="B114" s="138"/>
      <c r="C114" s="138"/>
      <c r="D114" s="139"/>
      <c r="E114" s="139"/>
      <c r="F114" s="142">
        <f>SUM(E110:E114)</f>
        <v>0</v>
      </c>
      <c r="G114" s="132"/>
    </row>
    <row r="115" spans="1:7">
      <c r="A115" s="132"/>
      <c r="B115" s="132"/>
      <c r="C115" s="132"/>
      <c r="D115" s="132"/>
      <c r="E115" s="132"/>
      <c r="F115" s="133"/>
      <c r="G115" s="133"/>
    </row>
    <row r="116" spans="1:7">
      <c r="A116" s="65" t="s">
        <v>29</v>
      </c>
      <c r="B116" s="142">
        <f>+G106+F114</f>
        <v>0</v>
      </c>
      <c r="C116" s="149"/>
      <c r="D116" s="149"/>
      <c r="E116" s="132"/>
      <c r="F116" s="133"/>
      <c r="G116" s="133"/>
    </row>
    <row r="117" spans="1:7">
      <c r="A117" s="132"/>
      <c r="B117" s="132"/>
      <c r="C117" s="132"/>
      <c r="D117" s="132"/>
      <c r="E117" s="132"/>
      <c r="F117" s="133"/>
      <c r="G117" s="133"/>
    </row>
    <row r="118" spans="1:7" ht="31.5" customHeight="1">
      <c r="A118" s="487" t="s">
        <v>330</v>
      </c>
      <c r="B118" s="487"/>
      <c r="C118" s="487"/>
      <c r="D118" s="487"/>
      <c r="E118" s="487"/>
      <c r="F118" s="487"/>
      <c r="G118" s="487"/>
    </row>
    <row r="120" spans="1:7">
      <c r="A120" s="483" t="s">
        <v>365</v>
      </c>
      <c r="B120" s="484"/>
      <c r="C120" s="484"/>
      <c r="D120" s="484"/>
      <c r="E120" s="484"/>
      <c r="F120" s="484"/>
      <c r="G120" s="485"/>
    </row>
    <row r="121" spans="1:7" ht="48">
      <c r="A121" s="134" t="s">
        <v>112</v>
      </c>
      <c r="B121" s="134" t="s">
        <v>113</v>
      </c>
      <c r="C121" s="134" t="s">
        <v>114</v>
      </c>
      <c r="D121" s="134" t="s">
        <v>115</v>
      </c>
      <c r="E121" s="63" t="s">
        <v>407</v>
      </c>
      <c r="F121" s="135" t="s">
        <v>150</v>
      </c>
      <c r="G121" s="137"/>
    </row>
    <row r="122" spans="1:7">
      <c r="A122" s="65" t="s">
        <v>118</v>
      </c>
      <c r="B122" s="138">
        <v>6</v>
      </c>
      <c r="C122" s="138">
        <v>3</v>
      </c>
      <c r="D122" s="138">
        <f>+C122*2</f>
        <v>6</v>
      </c>
      <c r="E122" s="180"/>
      <c r="F122" s="139">
        <f>+(E122*D122)/12</f>
        <v>0</v>
      </c>
      <c r="G122" s="141"/>
    </row>
    <row r="123" spans="1:7">
      <c r="A123" s="65" t="s">
        <v>119</v>
      </c>
      <c r="B123" s="138">
        <v>6</v>
      </c>
      <c r="C123" s="138">
        <v>3</v>
      </c>
      <c r="D123" s="138">
        <f>+C123*2</f>
        <v>6</v>
      </c>
      <c r="E123" s="180"/>
      <c r="F123" s="139">
        <f t="shared" ref="F123:F129" si="6">+(E123*D123)/12</f>
        <v>0</v>
      </c>
      <c r="G123" s="141"/>
    </row>
    <row r="124" spans="1:7">
      <c r="A124" s="65" t="s">
        <v>120</v>
      </c>
      <c r="B124" s="138">
        <v>6</v>
      </c>
      <c r="C124" s="138">
        <v>3</v>
      </c>
      <c r="D124" s="138">
        <f>+C124*2</f>
        <v>6</v>
      </c>
      <c r="E124" s="180"/>
      <c r="F124" s="139">
        <f t="shared" si="6"/>
        <v>0</v>
      </c>
      <c r="G124" s="141"/>
    </row>
    <row r="125" spans="1:7">
      <c r="A125" s="65" t="s">
        <v>335</v>
      </c>
      <c r="B125" s="138">
        <v>12</v>
      </c>
      <c r="C125" s="138">
        <v>1</v>
      </c>
      <c r="D125" s="138">
        <v>2</v>
      </c>
      <c r="E125" s="180"/>
      <c r="F125" s="139">
        <f t="shared" si="6"/>
        <v>0</v>
      </c>
      <c r="G125" s="141"/>
    </row>
    <row r="126" spans="1:7">
      <c r="A126" s="65" t="s">
        <v>121</v>
      </c>
      <c r="B126" s="138">
        <v>12</v>
      </c>
      <c r="C126" s="138"/>
      <c r="D126" s="138">
        <v>1</v>
      </c>
      <c r="E126" s="180"/>
      <c r="F126" s="139">
        <f t="shared" si="6"/>
        <v>0</v>
      </c>
      <c r="G126" s="141"/>
    </row>
    <row r="127" spans="1:7">
      <c r="A127" s="65" t="s">
        <v>122</v>
      </c>
      <c r="B127" s="138">
        <v>12</v>
      </c>
      <c r="C127" s="138"/>
      <c r="D127" s="138">
        <v>1</v>
      </c>
      <c r="E127" s="180"/>
      <c r="F127" s="139">
        <f t="shared" si="6"/>
        <v>0</v>
      </c>
      <c r="G127" s="141"/>
    </row>
    <row r="128" spans="1:7">
      <c r="A128" s="65" t="s">
        <v>123</v>
      </c>
      <c r="B128" s="138">
        <v>12</v>
      </c>
      <c r="C128" s="138"/>
      <c r="D128" s="138">
        <v>1</v>
      </c>
      <c r="E128" s="180"/>
      <c r="F128" s="139">
        <f t="shared" si="6"/>
        <v>0</v>
      </c>
      <c r="G128" s="141"/>
    </row>
    <row r="129" spans="1:7">
      <c r="A129" s="65" t="s">
        <v>124</v>
      </c>
      <c r="B129" s="138">
        <v>12</v>
      </c>
      <c r="C129" s="138"/>
      <c r="D129" s="138">
        <v>1</v>
      </c>
      <c r="E129" s="180"/>
      <c r="F129" s="139">
        <f t="shared" si="6"/>
        <v>0</v>
      </c>
      <c r="G129" s="141"/>
    </row>
    <row r="130" spans="1:7">
      <c r="A130" s="65" t="s">
        <v>125</v>
      </c>
      <c r="B130" s="138">
        <v>6</v>
      </c>
      <c r="C130" s="138">
        <v>1</v>
      </c>
      <c r="D130" s="138"/>
      <c r="E130" s="180"/>
      <c r="F130" s="139">
        <f>+(E130)/12</f>
        <v>0</v>
      </c>
      <c r="G130" s="141"/>
    </row>
    <row r="131" spans="1:7">
      <c r="A131" s="65"/>
      <c r="B131" s="138"/>
      <c r="C131" s="138"/>
      <c r="D131" s="138"/>
      <c r="E131" s="139"/>
      <c r="F131" s="139">
        <v>0</v>
      </c>
      <c r="G131" s="142">
        <f>ROUND(SUM(F122:F130),2)</f>
        <v>0</v>
      </c>
    </row>
    <row r="132" spans="1:7">
      <c r="A132" s="143"/>
      <c r="B132" s="144"/>
      <c r="C132" s="144"/>
      <c r="D132" s="144"/>
      <c r="E132" s="144"/>
      <c r="F132" s="133"/>
      <c r="G132" s="133"/>
    </row>
    <row r="133" spans="1:7">
      <c r="A133" s="486" t="s">
        <v>126</v>
      </c>
      <c r="B133" s="486"/>
      <c r="C133" s="486"/>
      <c r="D133" s="486"/>
      <c r="E133" s="486"/>
      <c r="F133" s="146"/>
      <c r="G133" s="146"/>
    </row>
    <row r="134" spans="1:7" ht="36">
      <c r="A134" s="147" t="s">
        <v>112</v>
      </c>
      <c r="B134" s="147" t="s">
        <v>113</v>
      </c>
      <c r="C134" s="147" t="s">
        <v>142</v>
      </c>
      <c r="D134" s="64" t="s">
        <v>407</v>
      </c>
      <c r="E134" s="135" t="s">
        <v>150</v>
      </c>
      <c r="F134" s="137"/>
      <c r="G134" s="137"/>
    </row>
    <row r="135" spans="1:7">
      <c r="A135" s="65" t="s">
        <v>143</v>
      </c>
      <c r="B135" s="138">
        <v>30</v>
      </c>
      <c r="C135" s="138">
        <v>0.5</v>
      </c>
      <c r="D135" s="180"/>
      <c r="E135" s="139">
        <f>+(D135/B135)*C135</f>
        <v>0</v>
      </c>
      <c r="F135" s="132"/>
      <c r="G135" s="132"/>
    </row>
    <row r="136" spans="1:7">
      <c r="A136" s="65" t="s">
        <v>144</v>
      </c>
      <c r="B136" s="138">
        <v>30</v>
      </c>
      <c r="C136" s="138">
        <v>0.5</v>
      </c>
      <c r="D136" s="180"/>
      <c r="E136" s="139">
        <f t="shared" ref="E136:E144" si="7">+(D136/B136)*C136</f>
        <v>0</v>
      </c>
      <c r="F136" s="132"/>
      <c r="G136" s="132"/>
    </row>
    <row r="137" spans="1:7">
      <c r="A137" s="65" t="s">
        <v>129</v>
      </c>
      <c r="B137" s="138">
        <v>30</v>
      </c>
      <c r="C137" s="138">
        <v>1</v>
      </c>
      <c r="D137" s="180"/>
      <c r="E137" s="139">
        <f t="shared" si="7"/>
        <v>0</v>
      </c>
      <c r="F137" s="132"/>
      <c r="G137" s="132"/>
    </row>
    <row r="138" spans="1:7">
      <c r="A138" s="65" t="s">
        <v>130</v>
      </c>
      <c r="B138" s="138">
        <v>30</v>
      </c>
      <c r="C138" s="138">
        <v>1</v>
      </c>
      <c r="D138" s="180"/>
      <c r="E138" s="139">
        <f t="shared" si="7"/>
        <v>0</v>
      </c>
      <c r="F138" s="132"/>
      <c r="G138" s="132"/>
    </row>
    <row r="139" spans="1:7">
      <c r="A139" s="65" t="s">
        <v>145</v>
      </c>
      <c r="B139" s="138">
        <v>60</v>
      </c>
      <c r="C139" s="138">
        <v>0.5</v>
      </c>
      <c r="D139" s="180"/>
      <c r="E139" s="139">
        <f t="shared" si="7"/>
        <v>0</v>
      </c>
      <c r="F139" s="132"/>
      <c r="G139" s="132"/>
    </row>
    <row r="140" spans="1:7">
      <c r="A140" s="65" t="s">
        <v>146</v>
      </c>
      <c r="B140" s="138">
        <v>120</v>
      </c>
      <c r="C140" s="138">
        <v>0.3</v>
      </c>
      <c r="D140" s="180"/>
      <c r="E140" s="139">
        <f t="shared" si="7"/>
        <v>0</v>
      </c>
      <c r="F140" s="132"/>
      <c r="G140" s="132"/>
    </row>
    <row r="141" spans="1:7">
      <c r="A141" s="65" t="s">
        <v>147</v>
      </c>
      <c r="B141" s="138">
        <v>30</v>
      </c>
      <c r="C141" s="138">
        <v>0.3</v>
      </c>
      <c r="D141" s="180"/>
      <c r="E141" s="139">
        <f t="shared" si="7"/>
        <v>0</v>
      </c>
      <c r="F141" s="132"/>
      <c r="G141" s="132"/>
    </row>
    <row r="142" spans="1:7">
      <c r="A142" s="65" t="s">
        <v>148</v>
      </c>
      <c r="B142" s="138">
        <v>30</v>
      </c>
      <c r="C142" s="138">
        <v>0.3</v>
      </c>
      <c r="D142" s="180"/>
      <c r="E142" s="139">
        <f t="shared" si="7"/>
        <v>0</v>
      </c>
      <c r="F142" s="132"/>
      <c r="G142" s="132"/>
    </row>
    <row r="143" spans="1:7">
      <c r="A143" s="65" t="s">
        <v>149</v>
      </c>
      <c r="B143" s="138">
        <v>24</v>
      </c>
      <c r="C143" s="138">
        <v>0.3</v>
      </c>
      <c r="D143" s="180"/>
      <c r="E143" s="139">
        <f t="shared" si="7"/>
        <v>0</v>
      </c>
      <c r="F143" s="132"/>
      <c r="G143" s="132"/>
    </row>
    <row r="144" spans="1:7">
      <c r="A144" s="65" t="s">
        <v>141</v>
      </c>
      <c r="B144" s="138">
        <v>60</v>
      </c>
      <c r="C144" s="138">
        <v>0.5</v>
      </c>
      <c r="D144" s="180"/>
      <c r="E144" s="139">
        <f t="shared" si="7"/>
        <v>0</v>
      </c>
      <c r="F144" s="132"/>
      <c r="G144" s="132"/>
    </row>
    <row r="145" spans="1:7">
      <c r="A145" s="65" t="s">
        <v>136</v>
      </c>
      <c r="B145" s="138">
        <v>60</v>
      </c>
      <c r="C145" s="138">
        <v>1</v>
      </c>
      <c r="D145" s="180"/>
      <c r="E145" s="139">
        <f>+(D145/B145)*C145</f>
        <v>0</v>
      </c>
      <c r="F145" s="132"/>
      <c r="G145" s="132"/>
    </row>
    <row r="146" spans="1:7">
      <c r="A146" s="65"/>
      <c r="B146" s="138"/>
      <c r="C146" s="138"/>
      <c r="D146" s="139"/>
      <c r="E146" s="139"/>
      <c r="F146" s="142">
        <f>ROUND(SUM(E135:E145),2)</f>
        <v>0</v>
      </c>
      <c r="G146" s="132"/>
    </row>
    <row r="147" spans="1:7">
      <c r="A147" s="132"/>
      <c r="B147" s="132"/>
      <c r="C147" s="132"/>
      <c r="D147" s="132"/>
      <c r="E147" s="132"/>
      <c r="F147" s="133"/>
      <c r="G147" s="133"/>
    </row>
    <row r="148" spans="1:7">
      <c r="A148" s="65" t="s">
        <v>29</v>
      </c>
      <c r="B148" s="142">
        <f>+G131+F146</f>
        <v>0</v>
      </c>
      <c r="C148" s="149"/>
      <c r="D148" s="149"/>
      <c r="E148" s="132"/>
      <c r="F148" s="133"/>
      <c r="G148" s="133"/>
    </row>
    <row r="149" spans="1:7">
      <c r="A149" s="132"/>
      <c r="B149" s="132"/>
      <c r="C149" s="132"/>
      <c r="D149" s="132"/>
      <c r="E149" s="303"/>
      <c r="F149" s="133"/>
      <c r="G149" s="133"/>
    </row>
    <row r="150" spans="1:7">
      <c r="A150" s="487" t="s">
        <v>292</v>
      </c>
      <c r="B150" s="487"/>
      <c r="C150" s="487"/>
      <c r="D150" s="487"/>
      <c r="E150" s="487"/>
      <c r="F150" s="487"/>
      <c r="G150" s="487"/>
    </row>
    <row r="151" spans="1:7">
      <c r="A151" s="304"/>
      <c r="B151" s="304"/>
      <c r="C151" s="304"/>
      <c r="D151" s="304"/>
      <c r="E151" s="304"/>
      <c r="F151" s="305"/>
      <c r="G151" s="305"/>
    </row>
    <row r="152" spans="1:7">
      <c r="A152" s="487" t="s">
        <v>291</v>
      </c>
      <c r="B152" s="487"/>
      <c r="C152" s="487"/>
      <c r="D152" s="487"/>
      <c r="E152" s="487"/>
      <c r="F152" s="487"/>
      <c r="G152" s="487"/>
    </row>
    <row r="154" spans="1:7">
      <c r="A154" s="483" t="s">
        <v>364</v>
      </c>
      <c r="B154" s="484"/>
      <c r="C154" s="484"/>
      <c r="D154" s="484"/>
      <c r="E154" s="484"/>
      <c r="F154" s="484"/>
      <c r="G154" s="485"/>
    </row>
    <row r="155" spans="1:7" ht="48">
      <c r="A155" s="134" t="s">
        <v>112</v>
      </c>
      <c r="B155" s="134" t="s">
        <v>113</v>
      </c>
      <c r="C155" s="134" t="s">
        <v>114</v>
      </c>
      <c r="D155" s="134" t="s">
        <v>115</v>
      </c>
      <c r="E155" s="63" t="s">
        <v>407</v>
      </c>
      <c r="F155" s="135" t="s">
        <v>150</v>
      </c>
      <c r="G155" s="137"/>
    </row>
    <row r="156" spans="1:7">
      <c r="A156" s="65" t="s">
        <v>118</v>
      </c>
      <c r="B156" s="138">
        <v>6</v>
      </c>
      <c r="C156" s="138">
        <v>3</v>
      </c>
      <c r="D156" s="138">
        <f>+C156*2</f>
        <v>6</v>
      </c>
      <c r="E156" s="180"/>
      <c r="F156" s="139">
        <f>+(E156*D156)/12</f>
        <v>0</v>
      </c>
      <c r="G156" s="141"/>
    </row>
    <row r="157" spans="1:7">
      <c r="A157" s="65" t="s">
        <v>119</v>
      </c>
      <c r="B157" s="138">
        <v>6</v>
      </c>
      <c r="C157" s="138">
        <v>3</v>
      </c>
      <c r="D157" s="138">
        <f>+C157*2</f>
        <v>6</v>
      </c>
      <c r="E157" s="180"/>
      <c r="F157" s="139">
        <f t="shared" ref="F157:F163" si="8">+(E157*D157)/12</f>
        <v>0</v>
      </c>
      <c r="G157" s="141"/>
    </row>
    <row r="158" spans="1:7">
      <c r="A158" s="65" t="s">
        <v>120</v>
      </c>
      <c r="B158" s="138">
        <v>6</v>
      </c>
      <c r="C158" s="138">
        <v>3</v>
      </c>
      <c r="D158" s="138">
        <f>+C158*2</f>
        <v>6</v>
      </c>
      <c r="E158" s="180"/>
      <c r="F158" s="139">
        <f t="shared" si="8"/>
        <v>0</v>
      </c>
      <c r="G158" s="141"/>
    </row>
    <row r="159" spans="1:7">
      <c r="A159" s="65" t="s">
        <v>335</v>
      </c>
      <c r="B159" s="138">
        <v>12</v>
      </c>
      <c r="C159" s="138">
        <v>1</v>
      </c>
      <c r="D159" s="138">
        <v>2</v>
      </c>
      <c r="E159" s="180"/>
      <c r="F159" s="139">
        <f t="shared" si="8"/>
        <v>0</v>
      </c>
      <c r="G159" s="141"/>
    </row>
    <row r="160" spans="1:7">
      <c r="A160" s="65" t="s">
        <v>121</v>
      </c>
      <c r="B160" s="138">
        <v>12</v>
      </c>
      <c r="C160" s="138"/>
      <c r="D160" s="138">
        <v>1</v>
      </c>
      <c r="E160" s="180"/>
      <c r="F160" s="139">
        <f t="shared" si="8"/>
        <v>0</v>
      </c>
      <c r="G160" s="141"/>
    </row>
    <row r="161" spans="1:7">
      <c r="A161" s="65" t="s">
        <v>122</v>
      </c>
      <c r="B161" s="138">
        <v>12</v>
      </c>
      <c r="C161" s="138"/>
      <c r="D161" s="138">
        <v>1</v>
      </c>
      <c r="E161" s="180"/>
      <c r="F161" s="139">
        <f t="shared" si="8"/>
        <v>0</v>
      </c>
      <c r="G161" s="141"/>
    </row>
    <row r="162" spans="1:7">
      <c r="A162" s="65" t="s">
        <v>123</v>
      </c>
      <c r="B162" s="138">
        <v>12</v>
      </c>
      <c r="C162" s="138"/>
      <c r="D162" s="138">
        <v>1</v>
      </c>
      <c r="E162" s="180"/>
      <c r="F162" s="139">
        <f t="shared" si="8"/>
        <v>0</v>
      </c>
      <c r="G162" s="141"/>
    </row>
    <row r="163" spans="1:7">
      <c r="A163" s="65" t="s">
        <v>124</v>
      </c>
      <c r="B163" s="138">
        <v>12</v>
      </c>
      <c r="C163" s="138"/>
      <c r="D163" s="138">
        <v>1</v>
      </c>
      <c r="E163" s="180"/>
      <c r="F163" s="139">
        <f t="shared" si="8"/>
        <v>0</v>
      </c>
      <c r="G163" s="141"/>
    </row>
    <row r="164" spans="1:7">
      <c r="A164" s="65" t="s">
        <v>125</v>
      </c>
      <c r="B164" s="138">
        <v>6</v>
      </c>
      <c r="C164" s="138">
        <v>1</v>
      </c>
      <c r="D164" s="138"/>
      <c r="E164" s="180"/>
      <c r="F164" s="139">
        <f>+(E164)/12</f>
        <v>0</v>
      </c>
      <c r="G164" s="141"/>
    </row>
    <row r="165" spans="1:7">
      <c r="A165" s="65"/>
      <c r="B165" s="138"/>
      <c r="C165" s="138"/>
      <c r="D165" s="138"/>
      <c r="E165" s="139"/>
      <c r="F165" s="139">
        <v>0</v>
      </c>
      <c r="G165" s="142">
        <f>ROUND(SUM(F156:F164),2)</f>
        <v>0</v>
      </c>
    </row>
    <row r="166" spans="1:7">
      <c r="A166" s="143"/>
      <c r="B166" s="144"/>
      <c r="C166" s="144"/>
      <c r="D166" s="144"/>
      <c r="E166" s="144"/>
      <c r="F166" s="133"/>
      <c r="G166" s="133"/>
    </row>
    <row r="167" spans="1:7">
      <c r="A167" s="486" t="s">
        <v>327</v>
      </c>
      <c r="B167" s="486"/>
      <c r="C167" s="486"/>
      <c r="D167" s="486"/>
      <c r="E167" s="486"/>
      <c r="F167" s="146"/>
      <c r="G167" s="146"/>
    </row>
    <row r="168" spans="1:7" ht="36">
      <c r="A168" s="147" t="s">
        <v>112</v>
      </c>
      <c r="B168" s="147" t="s">
        <v>113</v>
      </c>
      <c r="C168" s="147" t="s">
        <v>142</v>
      </c>
      <c r="D168" s="64" t="s">
        <v>407</v>
      </c>
      <c r="E168" s="135" t="s">
        <v>150</v>
      </c>
      <c r="F168" s="137"/>
      <c r="G168" s="137"/>
    </row>
    <row r="169" spans="1:7">
      <c r="A169" s="65" t="s">
        <v>129</v>
      </c>
      <c r="B169" s="138">
        <v>30</v>
      </c>
      <c r="C169" s="138">
        <v>1</v>
      </c>
      <c r="D169" s="180"/>
      <c r="E169" s="139">
        <f>+(D169/B169)*C169</f>
        <v>0</v>
      </c>
      <c r="F169" s="132"/>
      <c r="G169" s="132"/>
    </row>
    <row r="170" spans="1:7">
      <c r="A170" s="65" t="s">
        <v>130</v>
      </c>
      <c r="B170" s="138">
        <v>30</v>
      </c>
      <c r="C170" s="138">
        <v>1</v>
      </c>
      <c r="D170" s="180"/>
      <c r="E170" s="139">
        <f>+(D170/B170)*C170</f>
        <v>0</v>
      </c>
      <c r="F170" s="132"/>
      <c r="G170" s="132"/>
    </row>
    <row r="171" spans="1:7">
      <c r="A171" s="65" t="s">
        <v>145</v>
      </c>
      <c r="B171" s="138">
        <v>60</v>
      </c>
      <c r="C171" s="138">
        <v>0.5</v>
      </c>
      <c r="D171" s="180"/>
      <c r="E171" s="139">
        <f>+(D171/B171)*C171</f>
        <v>0</v>
      </c>
      <c r="F171" s="132"/>
      <c r="G171" s="132"/>
    </row>
    <row r="172" spans="1:7">
      <c r="A172" s="65"/>
      <c r="B172" s="138"/>
      <c r="C172" s="138"/>
      <c r="D172" s="139"/>
      <c r="E172" s="139"/>
      <c r="F172" s="142">
        <f>ROUND(SUM(E169:E171),2)</f>
        <v>0</v>
      </c>
      <c r="G172" s="132"/>
    </row>
    <row r="173" spans="1:7">
      <c r="A173" s="132"/>
      <c r="B173" s="132"/>
      <c r="C173" s="132"/>
      <c r="D173" s="132"/>
      <c r="E173" s="132"/>
      <c r="F173" s="133"/>
      <c r="G173" s="133"/>
    </row>
    <row r="174" spans="1:7">
      <c r="A174" s="65" t="s">
        <v>29</v>
      </c>
      <c r="B174" s="142">
        <f>+G165+F172</f>
        <v>0</v>
      </c>
      <c r="C174" s="149"/>
      <c r="D174" s="149"/>
      <c r="E174" s="132"/>
      <c r="F174" s="133"/>
      <c r="G174" s="133"/>
    </row>
  </sheetData>
  <mergeCells count="20">
    <mergeCell ref="A67:G67"/>
    <mergeCell ref="A69:G69"/>
    <mergeCell ref="A1:G1"/>
    <mergeCell ref="A14:E14"/>
    <mergeCell ref="A31:G31"/>
    <mergeCell ref="A33:G33"/>
    <mergeCell ref="A36:G36"/>
    <mergeCell ref="A49:E49"/>
    <mergeCell ref="A118:G118"/>
    <mergeCell ref="A71:G71"/>
    <mergeCell ref="A84:E84"/>
    <mergeCell ref="A93:G93"/>
    <mergeCell ref="A95:G95"/>
    <mergeCell ref="A108:E108"/>
    <mergeCell ref="A154:G154"/>
    <mergeCell ref="A167:E167"/>
    <mergeCell ref="A120:G120"/>
    <mergeCell ref="A133:E133"/>
    <mergeCell ref="A150:G150"/>
    <mergeCell ref="A152:G152"/>
  </mergeCells>
  <pageMargins left="0.78740157480314965" right="3.937007874015748E-2" top="0.35433070866141736" bottom="0.51" header="0.31496062992125984" footer="0.31496062992125984"/>
  <pageSetup paperSize="9" scale="75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9"/>
  <sheetViews>
    <sheetView workbookViewId="0">
      <selection activeCell="A23" sqref="A23:B24"/>
    </sheetView>
  </sheetViews>
  <sheetFormatPr defaultRowHeight="12.75"/>
  <cols>
    <col min="2" max="2" width="18.5" customWidth="1"/>
    <col min="5" max="5" width="10.75" customWidth="1"/>
    <col min="6" max="6" width="17.25" customWidth="1"/>
    <col min="8" max="8" width="11.625" customWidth="1"/>
    <col min="9" max="10" width="15.125" customWidth="1"/>
    <col min="11" max="11" width="16.125" customWidth="1"/>
    <col min="12" max="12" width="17.375" customWidth="1"/>
    <col min="13" max="14" width="19.5" customWidth="1"/>
  </cols>
  <sheetData>
    <row r="1" spans="1:13" ht="15">
      <c r="A1" s="349" t="s">
        <v>373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2" spans="1:13" ht="33.75" customHeight="1" thickBot="1">
      <c r="A2" s="369" t="s">
        <v>308</v>
      </c>
      <c r="B2" s="369"/>
      <c r="C2" s="224"/>
      <c r="D2" s="225" t="s">
        <v>309</v>
      </c>
      <c r="E2" s="225" t="s">
        <v>380</v>
      </c>
      <c r="F2" s="225" t="s">
        <v>310</v>
      </c>
      <c r="G2" s="225" t="s">
        <v>318</v>
      </c>
      <c r="H2" s="225" t="s">
        <v>381</v>
      </c>
      <c r="I2" s="225" t="s">
        <v>384</v>
      </c>
      <c r="J2" s="225" t="s">
        <v>323</v>
      </c>
      <c r="K2" s="225" t="s">
        <v>385</v>
      </c>
      <c r="L2" s="225" t="s">
        <v>386</v>
      </c>
      <c r="M2" s="225" t="s">
        <v>322</v>
      </c>
    </row>
    <row r="3" spans="1:13">
      <c r="A3" s="350" t="s">
        <v>408</v>
      </c>
      <c r="B3" s="351"/>
      <c r="C3" s="226" t="s">
        <v>312</v>
      </c>
      <c r="D3" s="227" t="s">
        <v>313</v>
      </c>
      <c r="E3" s="227" t="s">
        <v>314</v>
      </c>
      <c r="F3" s="228" t="s">
        <v>315</v>
      </c>
      <c r="G3" s="229">
        <v>2</v>
      </c>
      <c r="H3" s="277">
        <f>+G3*2</f>
        <v>4</v>
      </c>
      <c r="I3" s="230">
        <f>+J3*2</f>
        <v>0</v>
      </c>
      <c r="J3" s="231">
        <f>+'Vigilante 12X36 Diurno Des'!$D$153</f>
        <v>0</v>
      </c>
      <c r="K3" s="232">
        <f>+J3*H3</f>
        <v>0</v>
      </c>
      <c r="L3" s="232">
        <f>+K3*12</f>
        <v>0</v>
      </c>
      <c r="M3" s="233"/>
    </row>
    <row r="4" spans="1:13">
      <c r="A4" s="352"/>
      <c r="B4" s="353"/>
      <c r="C4" s="204" t="s">
        <v>317</v>
      </c>
      <c r="D4" s="205" t="s">
        <v>313</v>
      </c>
      <c r="E4" s="205" t="s">
        <v>316</v>
      </c>
      <c r="F4" s="206" t="s">
        <v>315</v>
      </c>
      <c r="G4" s="207">
        <v>2</v>
      </c>
      <c r="H4" s="274">
        <f>+G4*2</f>
        <v>4</v>
      </c>
      <c r="I4" s="220">
        <f>+J4*2</f>
        <v>0</v>
      </c>
      <c r="J4" s="222">
        <f>+'Vigilante 12x36 Noturno Arm'!$D$153</f>
        <v>0</v>
      </c>
      <c r="K4" s="8">
        <f t="shared" ref="K4:K25" si="0">+J4*H4</f>
        <v>0</v>
      </c>
      <c r="L4" s="8">
        <f t="shared" ref="L4:L25" si="1">+K4*12</f>
        <v>0</v>
      </c>
      <c r="M4" s="234"/>
    </row>
    <row r="5" spans="1:13" ht="13.5" thickBot="1">
      <c r="A5" s="354"/>
      <c r="B5" s="355"/>
      <c r="C5" s="235" t="s">
        <v>312</v>
      </c>
      <c r="D5" s="236" t="s">
        <v>375</v>
      </c>
      <c r="E5" s="236" t="s">
        <v>376</v>
      </c>
      <c r="F5" s="237" t="s">
        <v>341</v>
      </c>
      <c r="G5" s="238">
        <v>1</v>
      </c>
      <c r="H5" s="283">
        <f>+G5*1</f>
        <v>1</v>
      </c>
      <c r="I5" s="239">
        <f>+J5</f>
        <v>0</v>
      </c>
      <c r="J5" s="240">
        <f>+'Vigilante 44h Desarm'!$D$155</f>
        <v>0</v>
      </c>
      <c r="K5" s="241">
        <f t="shared" si="0"/>
        <v>0</v>
      </c>
      <c r="L5" s="241">
        <f t="shared" si="1"/>
        <v>0</v>
      </c>
      <c r="M5" s="265">
        <f>+L5+L4+L3</f>
        <v>0</v>
      </c>
    </row>
    <row r="6" spans="1:13">
      <c r="A6" s="356" t="s">
        <v>409</v>
      </c>
      <c r="B6" s="357"/>
      <c r="C6" s="242" t="s">
        <v>317</v>
      </c>
      <c r="D6" s="243" t="s">
        <v>313</v>
      </c>
      <c r="E6" s="243" t="s">
        <v>314</v>
      </c>
      <c r="F6" s="244" t="s">
        <v>315</v>
      </c>
      <c r="G6" s="245">
        <v>6</v>
      </c>
      <c r="H6" s="272">
        <f>+G6*2</f>
        <v>12</v>
      </c>
      <c r="I6" s="230">
        <f>+J6*2</f>
        <v>0</v>
      </c>
      <c r="J6" s="231">
        <f>+'Vigilante 12X36 Diurno Arm'!$D$153</f>
        <v>0</v>
      </c>
      <c r="K6" s="232">
        <f t="shared" si="0"/>
        <v>0</v>
      </c>
      <c r="L6" s="232">
        <f t="shared" si="1"/>
        <v>0</v>
      </c>
      <c r="M6" s="266"/>
    </row>
    <row r="7" spans="1:13">
      <c r="A7" s="358"/>
      <c r="B7" s="359"/>
      <c r="C7" s="204" t="s">
        <v>317</v>
      </c>
      <c r="D7" s="205" t="s">
        <v>313</v>
      </c>
      <c r="E7" s="205" t="s">
        <v>316</v>
      </c>
      <c r="F7" s="206" t="s">
        <v>315</v>
      </c>
      <c r="G7" s="207">
        <v>9</v>
      </c>
      <c r="H7" s="274">
        <f>+G7*2</f>
        <v>18</v>
      </c>
      <c r="I7" s="220">
        <f>+J7*2</f>
        <v>0</v>
      </c>
      <c r="J7" s="222">
        <f>+'Vigilante 12x36 Noturno Arm'!$D$153</f>
        <v>0</v>
      </c>
      <c r="K7" s="8">
        <f t="shared" si="0"/>
        <v>0</v>
      </c>
      <c r="L7" s="8">
        <f t="shared" si="1"/>
        <v>0</v>
      </c>
      <c r="M7" s="267"/>
    </row>
    <row r="8" spans="1:13" ht="13.5" thickBot="1">
      <c r="A8" s="360"/>
      <c r="B8" s="361"/>
      <c r="C8" s="246" t="s">
        <v>317</v>
      </c>
      <c r="D8" s="247" t="s">
        <v>377</v>
      </c>
      <c r="E8" s="247" t="s">
        <v>314</v>
      </c>
      <c r="F8" s="248" t="s">
        <v>341</v>
      </c>
      <c r="G8" s="249">
        <v>4</v>
      </c>
      <c r="H8" s="284">
        <f>+G8*1</f>
        <v>4</v>
      </c>
      <c r="I8" s="239">
        <f>+J8</f>
        <v>0</v>
      </c>
      <c r="J8" s="240">
        <f>+'Vigilante 5x2 12h Arm'!$D$156</f>
        <v>0</v>
      </c>
      <c r="K8" s="241">
        <f t="shared" si="0"/>
        <v>0</v>
      </c>
      <c r="L8" s="241">
        <f t="shared" si="1"/>
        <v>0</v>
      </c>
      <c r="M8" s="265">
        <f>+L8+L7+L6</f>
        <v>0</v>
      </c>
    </row>
    <row r="9" spans="1:13">
      <c r="A9" s="356" t="s">
        <v>410</v>
      </c>
      <c r="B9" s="357"/>
      <c r="C9" s="242" t="s">
        <v>317</v>
      </c>
      <c r="D9" s="243" t="s">
        <v>313</v>
      </c>
      <c r="E9" s="243" t="s">
        <v>314</v>
      </c>
      <c r="F9" s="244" t="s">
        <v>315</v>
      </c>
      <c r="G9" s="245">
        <v>2</v>
      </c>
      <c r="H9" s="272">
        <f>+G9*2</f>
        <v>4</v>
      </c>
      <c r="I9" s="230">
        <f>+J9*2</f>
        <v>0</v>
      </c>
      <c r="J9" s="231">
        <f>+'Vigilante 12X36 Diurno Arm'!$D$153</f>
        <v>0</v>
      </c>
      <c r="K9" s="232">
        <f t="shared" si="0"/>
        <v>0</v>
      </c>
      <c r="L9" s="232">
        <f t="shared" si="1"/>
        <v>0</v>
      </c>
      <c r="M9" s="266"/>
    </row>
    <row r="10" spans="1:13" ht="13.5" thickBot="1">
      <c r="A10" s="360"/>
      <c r="B10" s="361"/>
      <c r="C10" s="250" t="s">
        <v>317</v>
      </c>
      <c r="D10" s="251" t="s">
        <v>313</v>
      </c>
      <c r="E10" s="251" t="s">
        <v>316</v>
      </c>
      <c r="F10" s="252" t="s">
        <v>315</v>
      </c>
      <c r="G10" s="253">
        <v>2</v>
      </c>
      <c r="H10" s="285">
        <f>+G10*2</f>
        <v>4</v>
      </c>
      <c r="I10" s="239">
        <f>+J10*2</f>
        <v>0</v>
      </c>
      <c r="J10" s="240">
        <f>+'Vigilante 12x36 Noturno Arm'!$D$153</f>
        <v>0</v>
      </c>
      <c r="K10" s="241">
        <f t="shared" si="0"/>
        <v>0</v>
      </c>
      <c r="L10" s="241">
        <f t="shared" si="1"/>
        <v>0</v>
      </c>
      <c r="M10" s="265">
        <f>+L10+L9</f>
        <v>0</v>
      </c>
    </row>
    <row r="11" spans="1:13">
      <c r="A11" s="356" t="s">
        <v>411</v>
      </c>
      <c r="B11" s="357"/>
      <c r="C11" s="226" t="s">
        <v>312</v>
      </c>
      <c r="D11" s="227" t="s">
        <v>313</v>
      </c>
      <c r="E11" s="227" t="s">
        <v>314</v>
      </c>
      <c r="F11" s="228" t="s">
        <v>315</v>
      </c>
      <c r="G11" s="229">
        <v>2</v>
      </c>
      <c r="H11" s="277">
        <f>+G11*2</f>
        <v>4</v>
      </c>
      <c r="I11" s="230">
        <f>+J11*2</f>
        <v>0</v>
      </c>
      <c r="J11" s="231">
        <f>+'Vigilante 12X36 Diurno Des'!$D$153</f>
        <v>0</v>
      </c>
      <c r="K11" s="232">
        <f t="shared" si="0"/>
        <v>0</v>
      </c>
      <c r="L11" s="232">
        <f t="shared" si="1"/>
        <v>0</v>
      </c>
      <c r="M11" s="266"/>
    </row>
    <row r="12" spans="1:13">
      <c r="A12" s="358"/>
      <c r="B12" s="359"/>
      <c r="C12" s="211" t="s">
        <v>312</v>
      </c>
      <c r="D12" s="212" t="s">
        <v>313</v>
      </c>
      <c r="E12" s="212" t="s">
        <v>316</v>
      </c>
      <c r="F12" s="213" t="s">
        <v>315</v>
      </c>
      <c r="G12" s="214">
        <v>2</v>
      </c>
      <c r="H12" s="279">
        <f>+G12*2</f>
        <v>4</v>
      </c>
      <c r="I12" s="220">
        <f>+J12*2</f>
        <v>0</v>
      </c>
      <c r="J12" s="222">
        <f>+'Vigilante 12X36 Noturno Des'!$D$155</f>
        <v>0</v>
      </c>
      <c r="K12" s="8">
        <f t="shared" si="0"/>
        <v>0</v>
      </c>
      <c r="L12" s="8">
        <f t="shared" si="1"/>
        <v>0</v>
      </c>
      <c r="M12" s="267"/>
    </row>
    <row r="13" spans="1:13" ht="13.5" thickBot="1">
      <c r="A13" s="360"/>
      <c r="B13" s="361"/>
      <c r="C13" s="235" t="s">
        <v>312</v>
      </c>
      <c r="D13" s="236" t="s">
        <v>375</v>
      </c>
      <c r="E13" s="236" t="s">
        <v>376</v>
      </c>
      <c r="F13" s="237" t="s">
        <v>341</v>
      </c>
      <c r="G13" s="238">
        <v>1</v>
      </c>
      <c r="H13" s="283">
        <f>+G13*1</f>
        <v>1</v>
      </c>
      <c r="I13" s="239">
        <f>+J13</f>
        <v>0</v>
      </c>
      <c r="J13" s="240">
        <f>+'Vigilante 44h Desarm'!$D$155</f>
        <v>0</v>
      </c>
      <c r="K13" s="241">
        <f t="shared" si="0"/>
        <v>0</v>
      </c>
      <c r="L13" s="241">
        <f t="shared" si="1"/>
        <v>0</v>
      </c>
      <c r="M13" s="265">
        <f>+L13+L12+L11</f>
        <v>0</v>
      </c>
    </row>
    <row r="14" spans="1:13">
      <c r="A14" s="356" t="s">
        <v>412</v>
      </c>
      <c r="B14" s="357"/>
      <c r="C14" s="226" t="s">
        <v>312</v>
      </c>
      <c r="D14" s="227" t="s">
        <v>313</v>
      </c>
      <c r="E14" s="227" t="s">
        <v>314</v>
      </c>
      <c r="F14" s="228" t="s">
        <v>315</v>
      </c>
      <c r="G14" s="229">
        <v>1</v>
      </c>
      <c r="H14" s="277">
        <f>+G14*2</f>
        <v>2</v>
      </c>
      <c r="I14" s="230">
        <f>+J14*2</f>
        <v>0</v>
      </c>
      <c r="J14" s="231">
        <f>+'Vigilante 12X36 Diurno Des'!$D$153</f>
        <v>0</v>
      </c>
      <c r="K14" s="232">
        <f t="shared" si="0"/>
        <v>0</v>
      </c>
      <c r="L14" s="232">
        <f t="shared" si="1"/>
        <v>0</v>
      </c>
      <c r="M14" s="266"/>
    </row>
    <row r="15" spans="1:13">
      <c r="A15" s="358"/>
      <c r="B15" s="359"/>
      <c r="C15" s="211" t="s">
        <v>312</v>
      </c>
      <c r="D15" s="212" t="s">
        <v>313</v>
      </c>
      <c r="E15" s="212" t="s">
        <v>316</v>
      </c>
      <c r="F15" s="213" t="s">
        <v>315</v>
      </c>
      <c r="G15" s="214">
        <v>2</v>
      </c>
      <c r="H15" s="279">
        <f>+G15*2</f>
        <v>4</v>
      </c>
      <c r="I15" s="220">
        <f>+J15*2</f>
        <v>0</v>
      </c>
      <c r="J15" s="222">
        <f>+'Vigilante 12X36 Noturno Des'!$D$155</f>
        <v>0</v>
      </c>
      <c r="K15" s="8">
        <f t="shared" si="0"/>
        <v>0</v>
      </c>
      <c r="L15" s="8">
        <f t="shared" si="1"/>
        <v>0</v>
      </c>
      <c r="M15" s="267"/>
    </row>
    <row r="16" spans="1:13" ht="13.5" thickBot="1">
      <c r="A16" s="360"/>
      <c r="B16" s="361"/>
      <c r="C16" s="235" t="s">
        <v>312</v>
      </c>
      <c r="D16" s="236" t="s">
        <v>375</v>
      </c>
      <c r="E16" s="236" t="s">
        <v>314</v>
      </c>
      <c r="F16" s="237" t="s">
        <v>341</v>
      </c>
      <c r="G16" s="238">
        <v>1</v>
      </c>
      <c r="H16" s="283">
        <f>+G16*1</f>
        <v>1</v>
      </c>
      <c r="I16" s="239">
        <f>+J16</f>
        <v>0</v>
      </c>
      <c r="J16" s="240">
        <f>+'Vigilante 44h Desarm'!$D$155</f>
        <v>0</v>
      </c>
      <c r="K16" s="241">
        <f t="shared" si="0"/>
        <v>0</v>
      </c>
      <c r="L16" s="241">
        <f>+K16*12</f>
        <v>0</v>
      </c>
      <c r="M16" s="265">
        <f>+L16+L15+L14</f>
        <v>0</v>
      </c>
    </row>
    <row r="17" spans="1:13">
      <c r="A17" s="356" t="s">
        <v>413</v>
      </c>
      <c r="B17" s="357"/>
      <c r="C17" s="226" t="s">
        <v>312</v>
      </c>
      <c r="D17" s="227" t="s">
        <v>313</v>
      </c>
      <c r="E17" s="227" t="s">
        <v>314</v>
      </c>
      <c r="F17" s="228" t="s">
        <v>315</v>
      </c>
      <c r="G17" s="229">
        <v>1</v>
      </c>
      <c r="H17" s="277">
        <f>+G17*2</f>
        <v>2</v>
      </c>
      <c r="I17" s="230">
        <f>+J17*2</f>
        <v>0</v>
      </c>
      <c r="J17" s="231">
        <f>+'Vigilante 12X36 Diurno Des'!$D$153</f>
        <v>0</v>
      </c>
      <c r="K17" s="232">
        <f t="shared" si="0"/>
        <v>0</v>
      </c>
      <c r="L17" s="232">
        <f t="shared" si="1"/>
        <v>0</v>
      </c>
      <c r="M17" s="266"/>
    </row>
    <row r="18" spans="1:13">
      <c r="A18" s="358"/>
      <c r="B18" s="359"/>
      <c r="C18" s="211" t="s">
        <v>312</v>
      </c>
      <c r="D18" s="212" t="s">
        <v>313</v>
      </c>
      <c r="E18" s="212" t="s">
        <v>316</v>
      </c>
      <c r="F18" s="213" t="s">
        <v>315</v>
      </c>
      <c r="G18" s="214">
        <v>2</v>
      </c>
      <c r="H18" s="279">
        <f>+G18*2</f>
        <v>4</v>
      </c>
      <c r="I18" s="220">
        <f>+J18*2</f>
        <v>0</v>
      </c>
      <c r="J18" s="222">
        <f>+'Vigilante 12X36 Noturno Des'!$D$155</f>
        <v>0</v>
      </c>
      <c r="K18" s="8">
        <f t="shared" si="0"/>
        <v>0</v>
      </c>
      <c r="L18" s="8">
        <f t="shared" si="1"/>
        <v>0</v>
      </c>
      <c r="M18" s="267"/>
    </row>
    <row r="19" spans="1:13" ht="13.5" thickBot="1">
      <c r="A19" s="360"/>
      <c r="B19" s="361"/>
      <c r="C19" s="235" t="s">
        <v>312</v>
      </c>
      <c r="D19" s="236" t="s">
        <v>375</v>
      </c>
      <c r="E19" s="236" t="s">
        <v>314</v>
      </c>
      <c r="F19" s="237" t="s">
        <v>341</v>
      </c>
      <c r="G19" s="238">
        <v>1</v>
      </c>
      <c r="H19" s="283">
        <f>+G19*1</f>
        <v>1</v>
      </c>
      <c r="I19" s="239">
        <f>+J19</f>
        <v>0</v>
      </c>
      <c r="J19" s="240">
        <f>+'Vigilante 44h Desarm'!$D$155</f>
        <v>0</v>
      </c>
      <c r="K19" s="241">
        <f t="shared" si="0"/>
        <v>0</v>
      </c>
      <c r="L19" s="241">
        <f t="shared" si="1"/>
        <v>0</v>
      </c>
      <c r="M19" s="265">
        <f>+L19+L18+L17</f>
        <v>0</v>
      </c>
    </row>
    <row r="20" spans="1:13">
      <c r="A20" s="356" t="s">
        <v>414</v>
      </c>
      <c r="B20" s="357"/>
      <c r="C20" s="226" t="s">
        <v>312</v>
      </c>
      <c r="D20" s="227" t="s">
        <v>313</v>
      </c>
      <c r="E20" s="227" t="s">
        <v>314</v>
      </c>
      <c r="F20" s="228" t="s">
        <v>315</v>
      </c>
      <c r="G20" s="229">
        <v>1</v>
      </c>
      <c r="H20" s="277">
        <f>+G20*2</f>
        <v>2</v>
      </c>
      <c r="I20" s="230">
        <f>+J20*2</f>
        <v>0</v>
      </c>
      <c r="J20" s="231">
        <f>+'Vigilante 12X36 Diurno Des'!$D$153</f>
        <v>0</v>
      </c>
      <c r="K20" s="232">
        <f t="shared" si="0"/>
        <v>0</v>
      </c>
      <c r="L20" s="232">
        <f t="shared" si="1"/>
        <v>0</v>
      </c>
      <c r="M20" s="266"/>
    </row>
    <row r="21" spans="1:13">
      <c r="A21" s="358"/>
      <c r="B21" s="359"/>
      <c r="C21" s="211" t="s">
        <v>312</v>
      </c>
      <c r="D21" s="212" t="s">
        <v>313</v>
      </c>
      <c r="E21" s="212" t="s">
        <v>316</v>
      </c>
      <c r="F21" s="213" t="s">
        <v>315</v>
      </c>
      <c r="G21" s="214">
        <v>1</v>
      </c>
      <c r="H21" s="279">
        <f>+G21*2</f>
        <v>2</v>
      </c>
      <c r="I21" s="220">
        <f>+J21*2</f>
        <v>0</v>
      </c>
      <c r="J21" s="222">
        <f>+'Vigilante 12X36 Noturno Des'!$D$155</f>
        <v>0</v>
      </c>
      <c r="K21" s="8">
        <f t="shared" si="0"/>
        <v>0</v>
      </c>
      <c r="L21" s="8">
        <f t="shared" si="1"/>
        <v>0</v>
      </c>
      <c r="M21" s="267"/>
    </row>
    <row r="22" spans="1:13" ht="13.5" thickBot="1">
      <c r="A22" s="360"/>
      <c r="B22" s="361"/>
      <c r="C22" s="254" t="s">
        <v>312</v>
      </c>
      <c r="D22" s="255" t="s">
        <v>377</v>
      </c>
      <c r="E22" s="255" t="s">
        <v>314</v>
      </c>
      <c r="F22" s="256" t="s">
        <v>341</v>
      </c>
      <c r="G22" s="257">
        <v>1</v>
      </c>
      <c r="H22" s="286">
        <f>+G22*1</f>
        <v>1</v>
      </c>
      <c r="I22" s="239">
        <f>+J22</f>
        <v>0</v>
      </c>
      <c r="J22" s="240">
        <f>+'Vigilante 5x2 12h Desar'!$D$154</f>
        <v>0</v>
      </c>
      <c r="K22" s="241">
        <f t="shared" si="0"/>
        <v>0</v>
      </c>
      <c r="L22" s="241">
        <f t="shared" si="1"/>
        <v>0</v>
      </c>
      <c r="M22" s="265">
        <f>+L22+L21+L20</f>
        <v>0</v>
      </c>
    </row>
    <row r="23" spans="1:13">
      <c r="A23" s="356" t="s">
        <v>410</v>
      </c>
      <c r="B23" s="357"/>
      <c r="C23" s="226" t="s">
        <v>312</v>
      </c>
      <c r="D23" s="227" t="s">
        <v>313</v>
      </c>
      <c r="E23" s="227" t="s">
        <v>314</v>
      </c>
      <c r="F23" s="228" t="s">
        <v>315</v>
      </c>
      <c r="G23" s="229">
        <v>1</v>
      </c>
      <c r="H23" s="277">
        <f>+G23*2</f>
        <v>2</v>
      </c>
      <c r="I23" s="230">
        <f>+J23*2</f>
        <v>0</v>
      </c>
      <c r="J23" s="231">
        <f>+'Vigilante 12X36 Diurno Des'!$D$153</f>
        <v>0</v>
      </c>
      <c r="K23" s="232">
        <f t="shared" si="0"/>
        <v>0</v>
      </c>
      <c r="L23" s="232">
        <f t="shared" si="1"/>
        <v>0</v>
      </c>
      <c r="M23" s="266"/>
    </row>
    <row r="24" spans="1:13" ht="13.5" thickBot="1">
      <c r="A24" s="360"/>
      <c r="B24" s="361"/>
      <c r="C24" s="258" t="s">
        <v>312</v>
      </c>
      <c r="D24" s="259" t="s">
        <v>313</v>
      </c>
      <c r="E24" s="259" t="s">
        <v>316</v>
      </c>
      <c r="F24" s="260" t="s">
        <v>315</v>
      </c>
      <c r="G24" s="261">
        <v>1</v>
      </c>
      <c r="H24" s="287">
        <f>+G24*2</f>
        <v>2</v>
      </c>
      <c r="I24" s="239">
        <f>+J24*2</f>
        <v>0</v>
      </c>
      <c r="J24" s="240">
        <f>+'Vigilante 12X36 Noturno Des'!$D$155</f>
        <v>0</v>
      </c>
      <c r="K24" s="241">
        <f t="shared" si="0"/>
        <v>0</v>
      </c>
      <c r="L24" s="241">
        <f t="shared" si="1"/>
        <v>0</v>
      </c>
      <c r="M24" s="265">
        <f>+L24+L23</f>
        <v>0</v>
      </c>
    </row>
    <row r="25" spans="1:13" ht="13.5" thickBot="1">
      <c r="A25" s="218" t="s">
        <v>415</v>
      </c>
      <c r="B25" s="262"/>
      <c r="C25" s="235" t="s">
        <v>312</v>
      </c>
      <c r="D25" s="236" t="s">
        <v>375</v>
      </c>
      <c r="E25" s="236" t="s">
        <v>314</v>
      </c>
      <c r="F25" s="237" t="s">
        <v>341</v>
      </c>
      <c r="G25" s="238">
        <v>1</v>
      </c>
      <c r="H25" s="283">
        <f>+G25*1</f>
        <v>1</v>
      </c>
      <c r="I25" s="263">
        <f>+J25</f>
        <v>0</v>
      </c>
      <c r="J25" s="222">
        <f>+'Vigilante 44h Desarm'!$D$155</f>
        <v>0</v>
      </c>
      <c r="K25" s="264">
        <f t="shared" si="0"/>
        <v>0</v>
      </c>
      <c r="L25" s="264">
        <f t="shared" si="1"/>
        <v>0</v>
      </c>
      <c r="M25" s="268">
        <f>+L25</f>
        <v>0</v>
      </c>
    </row>
    <row r="26" spans="1:13" ht="13.5" thickBot="1">
      <c r="G26" s="288">
        <f>SUM(G3:G25)</f>
        <v>47</v>
      </c>
      <c r="H26" s="291">
        <f>SUM(H3:H25)</f>
        <v>84</v>
      </c>
      <c r="K26" s="289">
        <f>SUM(K3:K25)</f>
        <v>0</v>
      </c>
      <c r="L26" s="290">
        <f>SUM(L3:L25)</f>
        <v>0</v>
      </c>
      <c r="M26" s="88"/>
    </row>
    <row r="27" spans="1:13" ht="13.5" thickBot="1"/>
    <row r="28" spans="1:13" ht="60.75" thickBot="1">
      <c r="D28" s="270" t="s">
        <v>309</v>
      </c>
      <c r="E28" s="295" t="s">
        <v>380</v>
      </c>
      <c r="F28" s="169" t="s">
        <v>310</v>
      </c>
      <c r="G28" s="169" t="s">
        <v>318</v>
      </c>
      <c r="H28" s="170" t="s">
        <v>311</v>
      </c>
    </row>
    <row r="29" spans="1:13">
      <c r="C29" s="271" t="s">
        <v>317</v>
      </c>
      <c r="D29" s="243" t="s">
        <v>313</v>
      </c>
      <c r="E29" s="243" t="s">
        <v>314</v>
      </c>
      <c r="F29" s="244" t="s">
        <v>315</v>
      </c>
      <c r="G29" s="245">
        <f>+G6+G9</f>
        <v>8</v>
      </c>
      <c r="H29" s="245">
        <f>+H6+H9</f>
        <v>16</v>
      </c>
    </row>
    <row r="30" spans="1:13">
      <c r="C30" s="273" t="s">
        <v>317</v>
      </c>
      <c r="D30" s="205" t="s">
        <v>313</v>
      </c>
      <c r="E30" s="205" t="s">
        <v>316</v>
      </c>
      <c r="F30" s="206" t="s">
        <v>315</v>
      </c>
      <c r="G30" s="207">
        <f>+G10+G7+G4</f>
        <v>13</v>
      </c>
      <c r="H30" s="207">
        <f>+H10+H7+H4</f>
        <v>26</v>
      </c>
    </row>
    <row r="31" spans="1:13">
      <c r="C31" s="275" t="s">
        <v>317</v>
      </c>
      <c r="D31" s="208" t="s">
        <v>377</v>
      </c>
      <c r="E31" s="208" t="s">
        <v>314</v>
      </c>
      <c r="F31" s="209" t="s">
        <v>341</v>
      </c>
      <c r="G31" s="210">
        <f>+G8</f>
        <v>4</v>
      </c>
      <c r="H31" s="210">
        <f>+H8</f>
        <v>4</v>
      </c>
    </row>
    <row r="32" spans="1:13" ht="4.5" customHeight="1" thickBot="1"/>
    <row r="33" spans="1:14">
      <c r="C33" s="276" t="s">
        <v>312</v>
      </c>
      <c r="D33" s="227" t="s">
        <v>313</v>
      </c>
      <c r="E33" s="227" t="s">
        <v>314</v>
      </c>
      <c r="F33" s="228" t="s">
        <v>315</v>
      </c>
      <c r="G33" s="229">
        <f>+G23+G20+G17+G14+G11+G3</f>
        <v>8</v>
      </c>
      <c r="H33" s="277">
        <f>+H23+H20+H17+H14+H11+H3</f>
        <v>16</v>
      </c>
    </row>
    <row r="34" spans="1:14">
      <c r="C34" s="278" t="s">
        <v>312</v>
      </c>
      <c r="D34" s="212" t="s">
        <v>313</v>
      </c>
      <c r="E34" s="212" t="s">
        <v>316</v>
      </c>
      <c r="F34" s="213" t="s">
        <v>315</v>
      </c>
      <c r="G34" s="214">
        <f>+G21+G18+G15+G12+G24</f>
        <v>8</v>
      </c>
      <c r="H34" s="279">
        <f>+H21+H18+H15+H12+H24</f>
        <v>16</v>
      </c>
    </row>
    <row r="35" spans="1:14">
      <c r="C35" s="280" t="s">
        <v>312</v>
      </c>
      <c r="D35" s="215" t="s">
        <v>377</v>
      </c>
      <c r="E35" s="215" t="s">
        <v>314</v>
      </c>
      <c r="F35" s="216" t="s">
        <v>341</v>
      </c>
      <c r="G35" s="217">
        <f>+G22</f>
        <v>1</v>
      </c>
      <c r="H35" s="281">
        <f>+H22</f>
        <v>1</v>
      </c>
    </row>
    <row r="36" spans="1:14" ht="13.5" thickBot="1">
      <c r="C36" s="282" t="s">
        <v>312</v>
      </c>
      <c r="D36" s="236" t="s">
        <v>375</v>
      </c>
      <c r="E36" s="236" t="s">
        <v>376</v>
      </c>
      <c r="F36" s="237" t="s">
        <v>341</v>
      </c>
      <c r="G36" s="238">
        <f>+G13+G5+G16+G19+G25</f>
        <v>5</v>
      </c>
      <c r="H36" s="238">
        <f>+H13+H5+H16+H19+H25</f>
        <v>5</v>
      </c>
    </row>
    <row r="37" spans="1:14">
      <c r="G37" s="292">
        <f>SUM(G29:G36)</f>
        <v>47</v>
      </c>
      <c r="H37" s="292">
        <f>SUM(H29:H36)</f>
        <v>84</v>
      </c>
      <c r="K37" s="61"/>
    </row>
    <row r="38" spans="1:14">
      <c r="K38" s="269"/>
    </row>
    <row r="39" spans="1:14">
      <c r="K39" s="269"/>
    </row>
    <row r="40" spans="1:14" ht="13.5" thickBot="1"/>
    <row r="41" spans="1:14" ht="12.75" customHeight="1">
      <c r="A41" s="362" t="s">
        <v>13</v>
      </c>
      <c r="B41" s="363"/>
      <c r="C41" s="363"/>
      <c r="D41" s="363"/>
      <c r="E41" s="363"/>
      <c r="F41" s="363"/>
      <c r="G41" s="363"/>
      <c r="H41" s="370" t="s">
        <v>14</v>
      </c>
      <c r="I41" s="366" t="s">
        <v>15</v>
      </c>
      <c r="J41" s="366"/>
      <c r="K41" s="367" t="s">
        <v>384</v>
      </c>
      <c r="L41" s="367" t="s">
        <v>323</v>
      </c>
      <c r="M41" s="367" t="s">
        <v>325</v>
      </c>
      <c r="N41" s="371" t="s">
        <v>324</v>
      </c>
    </row>
    <row r="42" spans="1:14" ht="23.25" customHeight="1">
      <c r="A42" s="364"/>
      <c r="B42" s="365"/>
      <c r="C42" s="365"/>
      <c r="D42" s="365"/>
      <c r="E42" s="365"/>
      <c r="F42" s="365"/>
      <c r="G42" s="365"/>
      <c r="H42" s="362"/>
      <c r="I42" s="160" t="s">
        <v>319</v>
      </c>
      <c r="J42" s="160" t="s">
        <v>320</v>
      </c>
      <c r="K42" s="368"/>
      <c r="L42" s="368"/>
      <c r="M42" s="368"/>
      <c r="N42" s="372"/>
    </row>
    <row r="43" spans="1:14" s="67" customFormat="1" ht="27" customHeight="1">
      <c r="A43" s="315" t="s">
        <v>302</v>
      </c>
      <c r="B43" s="201" t="s">
        <v>303</v>
      </c>
      <c r="C43" s="308" t="s">
        <v>383</v>
      </c>
      <c r="D43" s="308"/>
      <c r="E43" s="308"/>
      <c r="F43" s="308"/>
      <c r="G43" s="308"/>
      <c r="H43" s="201" t="s">
        <v>307</v>
      </c>
      <c r="I43" s="219">
        <f t="shared" ref="I43:J45" si="2">+G29</f>
        <v>8</v>
      </c>
      <c r="J43" s="219">
        <f t="shared" si="2"/>
        <v>16</v>
      </c>
      <c r="K43" s="220">
        <f>+L43*2</f>
        <v>0</v>
      </c>
      <c r="L43" s="220">
        <f>+'Vigilante 12X36 Diurno Arm'!$D$153</f>
        <v>0</v>
      </c>
      <c r="M43" s="221">
        <f t="shared" ref="M43:M49" si="3">+L43*J43</f>
        <v>0</v>
      </c>
      <c r="N43" s="221">
        <f t="shared" ref="N43:N49" si="4">+M43*12</f>
        <v>0</v>
      </c>
    </row>
    <row r="44" spans="1:14" s="67" customFormat="1" ht="27" customHeight="1">
      <c r="A44" s="315"/>
      <c r="B44" s="201" t="s">
        <v>304</v>
      </c>
      <c r="C44" s="308" t="s">
        <v>382</v>
      </c>
      <c r="D44" s="308"/>
      <c r="E44" s="308"/>
      <c r="F44" s="308"/>
      <c r="G44" s="308"/>
      <c r="H44" s="201" t="s">
        <v>307</v>
      </c>
      <c r="I44" s="219">
        <f t="shared" si="2"/>
        <v>13</v>
      </c>
      <c r="J44" s="219">
        <f t="shared" si="2"/>
        <v>26</v>
      </c>
      <c r="K44" s="220">
        <f>+L44*2</f>
        <v>0</v>
      </c>
      <c r="L44" s="220">
        <f>+'Vigilante 12x36 Noturno Arm'!$D$153</f>
        <v>0</v>
      </c>
      <c r="M44" s="221">
        <f t="shared" si="3"/>
        <v>0</v>
      </c>
      <c r="N44" s="221">
        <f t="shared" si="4"/>
        <v>0</v>
      </c>
    </row>
    <row r="45" spans="1:14" s="67" customFormat="1" ht="27" customHeight="1">
      <c r="A45" s="315"/>
      <c r="B45" s="201" t="s">
        <v>305</v>
      </c>
      <c r="C45" s="308" t="s">
        <v>338</v>
      </c>
      <c r="D45" s="308"/>
      <c r="E45" s="308"/>
      <c r="F45" s="308"/>
      <c r="G45" s="308"/>
      <c r="H45" s="201" t="s">
        <v>339</v>
      </c>
      <c r="I45" s="219">
        <f t="shared" si="2"/>
        <v>4</v>
      </c>
      <c r="J45" s="219">
        <f t="shared" si="2"/>
        <v>4</v>
      </c>
      <c r="K45" s="220">
        <f>+L45</f>
        <v>0</v>
      </c>
      <c r="L45" s="220">
        <f>+'Vigilante 5x2 12h Arm'!$D$156</f>
        <v>0</v>
      </c>
      <c r="M45" s="221">
        <f t="shared" si="3"/>
        <v>0</v>
      </c>
      <c r="N45" s="221">
        <f t="shared" si="4"/>
        <v>0</v>
      </c>
    </row>
    <row r="46" spans="1:14" s="67" customFormat="1" ht="27" customHeight="1">
      <c r="A46" s="315"/>
      <c r="B46" s="298" t="s">
        <v>306</v>
      </c>
      <c r="C46" s="308" t="s">
        <v>299</v>
      </c>
      <c r="D46" s="308"/>
      <c r="E46" s="308"/>
      <c r="F46" s="308"/>
      <c r="G46" s="308"/>
      <c r="H46" s="201" t="s">
        <v>307</v>
      </c>
      <c r="I46" s="219">
        <f t="shared" ref="I46:J49" si="5">+G33</f>
        <v>8</v>
      </c>
      <c r="J46" s="219">
        <f t="shared" si="5"/>
        <v>16</v>
      </c>
      <c r="K46" s="220">
        <f>+L46*2</f>
        <v>0</v>
      </c>
      <c r="L46" s="220">
        <f>+'Vigilante 12X36 Diurno Des'!$D$153</f>
        <v>0</v>
      </c>
      <c r="M46" s="221">
        <f t="shared" si="3"/>
        <v>0</v>
      </c>
      <c r="N46" s="221">
        <f t="shared" si="4"/>
        <v>0</v>
      </c>
    </row>
    <row r="47" spans="1:14" s="67" customFormat="1" ht="27" customHeight="1">
      <c r="A47" s="315"/>
      <c r="B47" s="298" t="s">
        <v>336</v>
      </c>
      <c r="C47" s="308" t="s">
        <v>298</v>
      </c>
      <c r="D47" s="308"/>
      <c r="E47" s="308"/>
      <c r="F47" s="308"/>
      <c r="G47" s="308"/>
      <c r="H47" s="201" t="s">
        <v>307</v>
      </c>
      <c r="I47" s="219">
        <f t="shared" si="5"/>
        <v>8</v>
      </c>
      <c r="J47" s="219">
        <f t="shared" si="5"/>
        <v>16</v>
      </c>
      <c r="K47" s="220">
        <f>+L47*2</f>
        <v>0</v>
      </c>
      <c r="L47" s="220">
        <f>+'Vigilante 12X36 Noturno Des'!$D$155</f>
        <v>0</v>
      </c>
      <c r="M47" s="221">
        <f t="shared" si="3"/>
        <v>0</v>
      </c>
      <c r="N47" s="221">
        <f t="shared" si="4"/>
        <v>0</v>
      </c>
    </row>
    <row r="48" spans="1:14" s="67" customFormat="1" ht="27" customHeight="1">
      <c r="A48" s="315"/>
      <c r="B48" s="298" t="s">
        <v>337</v>
      </c>
      <c r="C48" s="308" t="s">
        <v>340</v>
      </c>
      <c r="D48" s="308"/>
      <c r="E48" s="308"/>
      <c r="F48" s="308"/>
      <c r="G48" s="308"/>
      <c r="H48" s="201" t="s">
        <v>339</v>
      </c>
      <c r="I48" s="219">
        <f t="shared" si="5"/>
        <v>1</v>
      </c>
      <c r="J48" s="219">
        <f t="shared" si="5"/>
        <v>1</v>
      </c>
      <c r="K48" s="220">
        <f>+L48</f>
        <v>0</v>
      </c>
      <c r="L48" s="220">
        <f>+'Vigilante 5x2 12h Desar'!$D$154</f>
        <v>0</v>
      </c>
      <c r="M48" s="221">
        <f t="shared" si="3"/>
        <v>0</v>
      </c>
      <c r="N48" s="221">
        <f t="shared" si="4"/>
        <v>0</v>
      </c>
    </row>
    <row r="49" spans="1:14" s="67" customFormat="1" ht="27" customHeight="1">
      <c r="A49" s="315"/>
      <c r="B49" s="298" t="s">
        <v>378</v>
      </c>
      <c r="C49" s="308" t="s">
        <v>379</v>
      </c>
      <c r="D49" s="308"/>
      <c r="E49" s="308"/>
      <c r="F49" s="308"/>
      <c r="G49" s="308"/>
      <c r="H49" s="201" t="s">
        <v>339</v>
      </c>
      <c r="I49" s="219">
        <f t="shared" si="5"/>
        <v>5</v>
      </c>
      <c r="J49" s="219">
        <f t="shared" si="5"/>
        <v>5</v>
      </c>
      <c r="K49" s="220">
        <f>+L49</f>
        <v>0</v>
      </c>
      <c r="L49" s="222">
        <f>+'Vigilante 44h Desarm'!$D$155</f>
        <v>0</v>
      </c>
      <c r="M49" s="221">
        <f t="shared" si="3"/>
        <v>0</v>
      </c>
      <c r="N49" s="221">
        <f t="shared" si="4"/>
        <v>0</v>
      </c>
    </row>
    <row r="50" spans="1:14">
      <c r="I50" s="292">
        <f>SUM(I43:I49)</f>
        <v>47</v>
      </c>
      <c r="J50" s="292">
        <f>SUM(J43:J49)</f>
        <v>84</v>
      </c>
      <c r="M50" s="223">
        <f>SUM(M43:M49)</f>
        <v>0</v>
      </c>
      <c r="N50" s="223">
        <f>SUM(N43:N49)</f>
        <v>0</v>
      </c>
    </row>
    <row r="56" spans="1:14">
      <c r="J56" s="88"/>
    </row>
    <row r="59" spans="1:14">
      <c r="J59" s="88"/>
    </row>
  </sheetData>
  <mergeCells count="25">
    <mergeCell ref="A2:B2"/>
    <mergeCell ref="A23:B24"/>
    <mergeCell ref="H41:H42"/>
    <mergeCell ref="C48:G48"/>
    <mergeCell ref="N41:N42"/>
    <mergeCell ref="C43:G43"/>
    <mergeCell ref="C44:G44"/>
    <mergeCell ref="C45:G45"/>
    <mergeCell ref="M41:M42"/>
    <mergeCell ref="A1:M1"/>
    <mergeCell ref="A3:B5"/>
    <mergeCell ref="A6:B8"/>
    <mergeCell ref="A9:B10"/>
    <mergeCell ref="C49:G49"/>
    <mergeCell ref="A41:G42"/>
    <mergeCell ref="I41:J41"/>
    <mergeCell ref="K41:K42"/>
    <mergeCell ref="L41:L42"/>
    <mergeCell ref="C46:G46"/>
    <mergeCell ref="C47:G47"/>
    <mergeCell ref="A43:A49"/>
    <mergeCell ref="A11:B13"/>
    <mergeCell ref="A14:B16"/>
    <mergeCell ref="A17:B19"/>
    <mergeCell ref="A20:B22"/>
  </mergeCells>
  <pageMargins left="0.78" right="7.874015748031496E-2" top="0.78740157480314965" bottom="0.3" header="0.31496062992125984" footer="0.12"/>
  <pageSetup paperSize="9" scale="59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F183"/>
  <sheetViews>
    <sheetView workbookViewId="0">
      <selection activeCell="D55" sqref="D55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3" spans="1:6">
      <c r="A3" s="373" t="s">
        <v>16</v>
      </c>
      <c r="B3" s="374"/>
      <c r="C3" s="374"/>
      <c r="D3" s="390"/>
    </row>
    <row r="4" spans="1:6" s="1" customFormat="1" ht="28.5" customHeight="1">
      <c r="A4" s="161">
        <v>1</v>
      </c>
      <c r="B4" s="162" t="s">
        <v>17</v>
      </c>
      <c r="C4" s="398" t="s">
        <v>357</v>
      </c>
      <c r="D4" s="399"/>
    </row>
    <row r="5" spans="1:6" s="1" customFormat="1">
      <c r="A5" s="161">
        <v>2</v>
      </c>
      <c r="B5" s="162" t="s">
        <v>18</v>
      </c>
      <c r="C5" s="400" t="s">
        <v>295</v>
      </c>
      <c r="D5" s="395"/>
    </row>
    <row r="6" spans="1:6" s="1" customFormat="1">
      <c r="A6" s="161">
        <v>3</v>
      </c>
      <c r="B6" s="162" t="s">
        <v>19</v>
      </c>
      <c r="C6" s="401"/>
      <c r="D6" s="401"/>
    </row>
    <row r="7" spans="1:6" s="1" customFormat="1" ht="42.75" customHeight="1">
      <c r="A7" s="161">
        <v>4</v>
      </c>
      <c r="B7" s="162" t="s">
        <v>21</v>
      </c>
      <c r="C7" s="402" t="s">
        <v>296</v>
      </c>
      <c r="D7" s="403"/>
    </row>
    <row r="8" spans="1:6" s="1" customFormat="1">
      <c r="A8" s="161">
        <v>5</v>
      </c>
      <c r="B8" s="162" t="s">
        <v>20</v>
      </c>
      <c r="C8" s="394">
        <v>42795</v>
      </c>
      <c r="D8" s="395"/>
    </row>
    <row r="9" spans="1:6">
      <c r="D9" s="196"/>
    </row>
    <row r="10" spans="1:6">
      <c r="A10" s="388" t="s">
        <v>22</v>
      </c>
      <c r="B10" s="389"/>
      <c r="C10" s="389"/>
      <c r="D10" s="389"/>
    </row>
    <row r="11" spans="1:6">
      <c r="A11" s="4">
        <v>1</v>
      </c>
      <c r="B11" s="94" t="s">
        <v>23</v>
      </c>
      <c r="C11" s="70" t="s">
        <v>50</v>
      </c>
      <c r="D11" s="5" t="s">
        <v>24</v>
      </c>
    </row>
    <row r="12" spans="1:6">
      <c r="A12" s="23" t="s">
        <v>3</v>
      </c>
      <c r="B12" s="323" t="s">
        <v>30</v>
      </c>
      <c r="C12" s="323"/>
      <c r="D12" s="7">
        <f>+C6</f>
        <v>0</v>
      </c>
    </row>
    <row r="13" spans="1:6">
      <c r="A13" s="23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>
      <c r="A14" s="23" t="s">
        <v>5</v>
      </c>
      <c r="B14" s="89" t="s">
        <v>32</v>
      </c>
      <c r="C14" s="95"/>
      <c r="D14" s="7"/>
    </row>
    <row r="15" spans="1:6">
      <c r="A15" s="23" t="s">
        <v>6</v>
      </c>
      <c r="B15" s="323" t="s">
        <v>33</v>
      </c>
      <c r="C15" s="323"/>
      <c r="D15" s="7"/>
    </row>
    <row r="16" spans="1:6">
      <c r="A16" s="23" t="s">
        <v>25</v>
      </c>
      <c r="B16" s="323" t="s">
        <v>34</v>
      </c>
      <c r="C16" s="323"/>
      <c r="D16" s="7"/>
    </row>
    <row r="17" spans="1:6">
      <c r="A17" s="69" t="s">
        <v>26</v>
      </c>
      <c r="B17" s="412" t="s">
        <v>231</v>
      </c>
      <c r="C17" s="413"/>
      <c r="D17" s="7"/>
    </row>
    <row r="18" spans="1:6">
      <c r="A18" s="69" t="s">
        <v>27</v>
      </c>
      <c r="B18" s="323" t="s">
        <v>35</v>
      </c>
      <c r="C18" s="323"/>
      <c r="D18" s="7"/>
    </row>
    <row r="19" spans="1:6">
      <c r="A19" s="69" t="s">
        <v>28</v>
      </c>
      <c r="B19" s="412" t="s">
        <v>195</v>
      </c>
      <c r="C19" s="413"/>
      <c r="D19" s="93"/>
    </row>
    <row r="20" spans="1:6">
      <c r="A20" s="69" t="s">
        <v>64</v>
      </c>
      <c r="B20" s="89" t="s">
        <v>65</v>
      </c>
      <c r="C20" s="95"/>
      <c r="D20" s="7"/>
    </row>
    <row r="21" spans="1:6">
      <c r="A21" s="69" t="s">
        <v>194</v>
      </c>
      <c r="B21" s="323" t="s">
        <v>95</v>
      </c>
      <c r="C21" s="323"/>
      <c r="D21" s="8"/>
      <c r="F21" s="98"/>
    </row>
    <row r="22" spans="1:6">
      <c r="A22" s="69" t="s">
        <v>196</v>
      </c>
      <c r="B22" s="323" t="s">
        <v>36</v>
      </c>
      <c r="C22" s="323"/>
      <c r="D22" s="8"/>
    </row>
    <row r="23" spans="1:6">
      <c r="A23" s="380" t="s">
        <v>29</v>
      </c>
      <c r="B23" s="380"/>
      <c r="C23" s="380"/>
      <c r="D23" s="9">
        <f>SUM(D12:D22)</f>
        <v>0</v>
      </c>
    </row>
    <row r="25" spans="1:6">
      <c r="A25" s="388" t="s">
        <v>37</v>
      </c>
      <c r="B25" s="389"/>
      <c r="C25" s="389"/>
      <c r="D25" s="389"/>
    </row>
    <row r="27" spans="1:6">
      <c r="A27" s="388" t="s">
        <v>38</v>
      </c>
      <c r="B27" s="389"/>
      <c r="C27" s="389"/>
      <c r="D27" s="389"/>
    </row>
    <row r="28" spans="1:6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>
      <c r="A29" s="23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>
      <c r="A31" s="23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>
      <c r="A32" s="23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>
      <c r="A33" s="380" t="s">
        <v>29</v>
      </c>
      <c r="B33" s="380"/>
      <c r="C33" s="380"/>
      <c r="D33" s="9">
        <f>+D30+D29</f>
        <v>0</v>
      </c>
    </row>
    <row r="35" spans="1:4" ht="29.25" customHeight="1">
      <c r="A35" s="410" t="s">
        <v>47</v>
      </c>
      <c r="B35" s="411"/>
      <c r="C35" s="411"/>
      <c r="D35" s="411"/>
    </row>
    <row r="36" spans="1:4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>
      <c r="A37" s="23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>
      <c r="A38" s="23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>
      <c r="A39" s="23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>
      <c r="A40" s="23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>
      <c r="A41" s="23" t="s">
        <v>25</v>
      </c>
      <c r="B41" s="6" t="s">
        <v>54</v>
      </c>
      <c r="C41" s="17">
        <v>0.01</v>
      </c>
      <c r="D41" s="18">
        <f t="shared" si="0"/>
        <v>0</v>
      </c>
    </row>
    <row r="42" spans="1:4">
      <c r="A42" s="23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>
      <c r="A43" s="23" t="s">
        <v>27</v>
      </c>
      <c r="B43" s="6" t="s">
        <v>56</v>
      </c>
      <c r="C43" s="17">
        <v>2E-3</v>
      </c>
      <c r="D43" s="18">
        <f t="shared" si="0"/>
        <v>0</v>
      </c>
    </row>
    <row r="44" spans="1:4">
      <c r="A44" s="23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>
      <c r="A45" s="10" t="s">
        <v>29</v>
      </c>
      <c r="B45" s="11"/>
      <c r="C45" s="41">
        <f>SUM(C37:C44)</f>
        <v>0.36800000000000005</v>
      </c>
      <c r="D45" s="42">
        <f>SUM(D37:D44)</f>
        <v>0</v>
      </c>
    </row>
    <row r="46" spans="1:4">
      <c r="A46" s="43"/>
      <c r="B46" s="43"/>
      <c r="C46" s="43"/>
      <c r="D46" s="43"/>
    </row>
    <row r="47" spans="1:4" ht="12.75" customHeight="1">
      <c r="A47" s="410" t="s">
        <v>59</v>
      </c>
      <c r="B47" s="411"/>
      <c r="C47" s="411"/>
      <c r="D47" s="411"/>
    </row>
    <row r="48" spans="1:4">
      <c r="A48" s="19" t="s">
        <v>60</v>
      </c>
      <c r="B48" s="21" t="s">
        <v>61</v>
      </c>
      <c r="C48" s="22"/>
      <c r="D48" s="20" t="s">
        <v>24</v>
      </c>
    </row>
    <row r="49" spans="1:6">
      <c r="A49" s="107" t="s">
        <v>3</v>
      </c>
      <c r="B49" s="6" t="s">
        <v>62</v>
      </c>
      <c r="C49" s="54"/>
      <c r="D49" s="18">
        <f>+'Calculo 12 36 Diu Arm'!C107</f>
        <v>0</v>
      </c>
    </row>
    <row r="50" spans="1:6" s="60" customFormat="1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>
      <c r="A51" s="107" t="s">
        <v>4</v>
      </c>
      <c r="B51" s="6" t="s">
        <v>63</v>
      </c>
      <c r="C51" s="54"/>
      <c r="D51" s="18">
        <f>+'Calculo 12 36 Diu Arm'!C116</f>
        <v>0</v>
      </c>
      <c r="F51" s="61"/>
    </row>
    <row r="52" spans="1:6" s="60" customFormat="1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>
      <c r="A53" s="6" t="s">
        <v>5</v>
      </c>
      <c r="B53" s="6" t="s">
        <v>66</v>
      </c>
      <c r="C53" s="54"/>
      <c r="D53" s="18"/>
      <c r="F53" s="61"/>
    </row>
    <row r="54" spans="1:6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>
      <c r="A55" s="116" t="s">
        <v>6</v>
      </c>
      <c r="B55" s="116" t="s">
        <v>389</v>
      </c>
      <c r="C55" s="54"/>
      <c r="D55" s="301"/>
      <c r="F55" s="61"/>
    </row>
    <row r="56" spans="1:6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>
      <c r="A57" s="116" t="s">
        <v>25</v>
      </c>
      <c r="B57" s="116" t="s">
        <v>396</v>
      </c>
      <c r="C57" s="54"/>
      <c r="D57" s="302"/>
      <c r="F57" s="130"/>
    </row>
    <row r="58" spans="1:6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>
      <c r="A59" s="116" t="s">
        <v>26</v>
      </c>
      <c r="B59" s="416" t="s">
        <v>293</v>
      </c>
      <c r="C59" s="416"/>
      <c r="D59" s="301"/>
    </row>
    <row r="60" spans="1:6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>
      <c r="A61" s="373" t="s">
        <v>29</v>
      </c>
      <c r="B61" s="390"/>
      <c r="C61" s="16"/>
      <c r="D61" s="110">
        <f>SUM(D49:D60)</f>
        <v>0</v>
      </c>
    </row>
    <row r="63" spans="1:6">
      <c r="A63" s="388" t="s">
        <v>67</v>
      </c>
      <c r="B63" s="389"/>
      <c r="C63" s="389"/>
      <c r="D63" s="389"/>
    </row>
    <row r="64" spans="1:6">
      <c r="A64" s="24">
        <v>2</v>
      </c>
      <c r="B64" s="409" t="s">
        <v>68</v>
      </c>
      <c r="C64" s="409"/>
      <c r="D64" s="27" t="s">
        <v>24</v>
      </c>
    </row>
    <row r="65" spans="1:4">
      <c r="A65" s="25" t="s">
        <v>39</v>
      </c>
      <c r="B65" s="421" t="s">
        <v>40</v>
      </c>
      <c r="C65" s="421"/>
      <c r="D65" s="18">
        <f>+D33</f>
        <v>0</v>
      </c>
    </row>
    <row r="66" spans="1:4">
      <c r="A66" s="25" t="s">
        <v>48</v>
      </c>
      <c r="B66" s="421" t="s">
        <v>49</v>
      </c>
      <c r="C66" s="421"/>
      <c r="D66" s="18">
        <f>+D45</f>
        <v>0</v>
      </c>
    </row>
    <row r="67" spans="1:4">
      <c r="A67" s="25" t="s">
        <v>60</v>
      </c>
      <c r="B67" s="421" t="s">
        <v>61</v>
      </c>
      <c r="C67" s="421"/>
      <c r="D67" s="68">
        <f>+D61</f>
        <v>0</v>
      </c>
    </row>
    <row r="68" spans="1:4">
      <c r="A68" s="409" t="s">
        <v>29</v>
      </c>
      <c r="B68" s="409"/>
      <c r="C68" s="409"/>
      <c r="D68" s="26">
        <f>SUM(D65:D67)</f>
        <v>0</v>
      </c>
    </row>
    <row r="70" spans="1:4">
      <c r="A70" s="388" t="s">
        <v>69</v>
      </c>
      <c r="B70" s="389"/>
      <c r="C70" s="389"/>
      <c r="D70" s="389"/>
    </row>
    <row r="72" spans="1:4">
      <c r="A72" s="13">
        <v>3</v>
      </c>
      <c r="B72" s="14" t="s">
        <v>70</v>
      </c>
      <c r="C72" s="12" t="s">
        <v>50</v>
      </c>
      <c r="D72" s="12" t="s">
        <v>24</v>
      </c>
    </row>
    <row r="73" spans="1:4">
      <c r="A73" s="23" t="s">
        <v>3</v>
      </c>
      <c r="B73" s="34" t="s">
        <v>72</v>
      </c>
      <c r="C73" s="29" t="e">
        <f>+D73/$D$23</f>
        <v>#DIV/0!</v>
      </c>
      <c r="D73" s="118">
        <f>+'Calculo 12 36 Diu Arm'!C122</f>
        <v>0</v>
      </c>
    </row>
    <row r="74" spans="1:4">
      <c r="A74" s="23" t="s">
        <v>4</v>
      </c>
      <c r="B74" s="6" t="s">
        <v>73</v>
      </c>
      <c r="C74" s="52"/>
      <c r="D74" s="8">
        <f>ROUND(+D73*$C$44,2)</f>
        <v>0</v>
      </c>
    </row>
    <row r="75" spans="1:4" ht="25.5">
      <c r="A75" s="23" t="s">
        <v>5</v>
      </c>
      <c r="B75" s="30" t="s">
        <v>75</v>
      </c>
      <c r="C75" s="17" t="e">
        <f>+D75/$D$23</f>
        <v>#DIV/0!</v>
      </c>
      <c r="D75" s="8">
        <f>+'Calculo 12 36 Diu Arm'!C136</f>
        <v>0</v>
      </c>
    </row>
    <row r="76" spans="1:4">
      <c r="A76" s="31" t="s">
        <v>6</v>
      </c>
      <c r="B76" s="6" t="s">
        <v>71</v>
      </c>
      <c r="C76" s="17" t="e">
        <f>+D76/$D$23</f>
        <v>#DIV/0!</v>
      </c>
      <c r="D76" s="8">
        <f>+'Calculo 12 36 Diu Arm'!C144</f>
        <v>0</v>
      </c>
    </row>
    <row r="77" spans="1:4" ht="25.5">
      <c r="A77" s="31" t="s">
        <v>25</v>
      </c>
      <c r="B77" s="30" t="s">
        <v>74</v>
      </c>
      <c r="C77" s="52"/>
      <c r="D77" s="8">
        <f>+D76*C45</f>
        <v>0</v>
      </c>
    </row>
    <row r="78" spans="1:4" ht="25.5">
      <c r="A78" s="108" t="s">
        <v>26</v>
      </c>
      <c r="B78" s="30" t="s">
        <v>76</v>
      </c>
      <c r="C78" s="17" t="e">
        <f>+D78/$D$23</f>
        <v>#DIV/0!</v>
      </c>
      <c r="D78" s="18">
        <f>+'Calculo 12 36 Diu Arm'!C158</f>
        <v>0</v>
      </c>
    </row>
    <row r="79" spans="1:4">
      <c r="A79" s="373" t="s">
        <v>29</v>
      </c>
      <c r="B79" s="374"/>
      <c r="C79" s="390"/>
      <c r="D79" s="32">
        <f>SUM(D73:D78)</f>
        <v>0</v>
      </c>
    </row>
    <row r="81" spans="1:4">
      <c r="A81" s="388" t="s">
        <v>84</v>
      </c>
      <c r="B81" s="389"/>
      <c r="C81" s="389"/>
      <c r="D81" s="389"/>
    </row>
    <row r="83" spans="1:4">
      <c r="A83" s="404" t="s">
        <v>87</v>
      </c>
      <c r="B83" s="404"/>
      <c r="C83" s="404"/>
      <c r="D83" s="404"/>
    </row>
    <row r="84" spans="1:4">
      <c r="A84" s="13" t="s">
        <v>85</v>
      </c>
      <c r="B84" s="373" t="s">
        <v>86</v>
      </c>
      <c r="C84" s="390"/>
      <c r="D84" s="12" t="s">
        <v>24</v>
      </c>
    </row>
    <row r="85" spans="1:4">
      <c r="A85" s="6" t="s">
        <v>3</v>
      </c>
      <c r="B85" s="377" t="s">
        <v>88</v>
      </c>
      <c r="C85" s="378"/>
      <c r="D85" s="8"/>
    </row>
    <row r="86" spans="1:4">
      <c r="A86" s="34" t="s">
        <v>4</v>
      </c>
      <c r="B86" s="396" t="s">
        <v>86</v>
      </c>
      <c r="C86" s="397"/>
      <c r="D86" s="120">
        <f>+'Calculo 12 36 Diu Arm'!C171</f>
        <v>0</v>
      </c>
    </row>
    <row r="87" spans="1:4" s="60" customFormat="1">
      <c r="A87" s="34" t="s">
        <v>5</v>
      </c>
      <c r="B87" s="396" t="s">
        <v>89</v>
      </c>
      <c r="C87" s="397"/>
      <c r="D87" s="120">
        <f>+'Calculo 12 36 Diu Arm'!C180</f>
        <v>0</v>
      </c>
    </row>
    <row r="88" spans="1:4" s="60" customFormat="1">
      <c r="A88" s="34" t="s">
        <v>6</v>
      </c>
      <c r="B88" s="396" t="s">
        <v>90</v>
      </c>
      <c r="C88" s="397"/>
      <c r="D88" s="120">
        <f>+'Calculo 12 36 Diu Arm'!C188</f>
        <v>0</v>
      </c>
    </row>
    <row r="89" spans="1:4" s="60" customFormat="1" ht="13.5">
      <c r="A89" s="34" t="s">
        <v>25</v>
      </c>
      <c r="B89" s="396" t="s">
        <v>287</v>
      </c>
      <c r="C89" s="397"/>
      <c r="D89" s="120"/>
    </row>
    <row r="90" spans="1:4" s="60" customFormat="1">
      <c r="A90" s="34" t="s">
        <v>26</v>
      </c>
      <c r="B90" s="396" t="s">
        <v>93</v>
      </c>
      <c r="C90" s="397"/>
      <c r="D90" s="120">
        <f>+'Calculo 12 36 Diu Arm'!C196</f>
        <v>0</v>
      </c>
    </row>
    <row r="91" spans="1:4">
      <c r="A91" s="6" t="s">
        <v>27</v>
      </c>
      <c r="B91" s="377" t="s">
        <v>36</v>
      </c>
      <c r="C91" s="378"/>
      <c r="D91" s="8"/>
    </row>
    <row r="92" spans="1:4">
      <c r="A92" s="6" t="s">
        <v>28</v>
      </c>
      <c r="B92" s="377" t="s">
        <v>94</v>
      </c>
      <c r="C92" s="378"/>
      <c r="D92" s="8">
        <f>ROUND((D86+D87+D88+D85+D89+D90+D91)*C45,2)</f>
        <v>0</v>
      </c>
    </row>
    <row r="93" spans="1:4">
      <c r="A93" s="380" t="s">
        <v>29</v>
      </c>
      <c r="B93" s="380"/>
      <c r="C93" s="380"/>
      <c r="D93" s="9">
        <f>SUM(D85:D92)</f>
        <v>0</v>
      </c>
    </row>
    <row r="94" spans="1:4">
      <c r="D94" s="15"/>
    </row>
    <row r="95" spans="1:4">
      <c r="A95" s="13" t="s">
        <v>99</v>
      </c>
      <c r="B95" s="373" t="s">
        <v>92</v>
      </c>
      <c r="C95" s="390"/>
      <c r="D95" s="33" t="s">
        <v>24</v>
      </c>
    </row>
    <row r="96" spans="1:4" s="60" customFormat="1">
      <c r="A96" s="34" t="s">
        <v>3</v>
      </c>
      <c r="B96" s="407" t="s">
        <v>96</v>
      </c>
      <c r="C96" s="408"/>
      <c r="D96" s="120">
        <f>+'Calculo 12 36 Diu Arm'!C220</f>
        <v>0</v>
      </c>
    </row>
    <row r="97" spans="1:4" s="60" customFormat="1" ht="25.5" customHeight="1">
      <c r="A97" s="34" t="s">
        <v>4</v>
      </c>
      <c r="B97" s="391" t="s">
        <v>98</v>
      </c>
      <c r="C97" s="392"/>
      <c r="D97" s="120">
        <f>ROUND(D96*C45,2)</f>
        <v>0</v>
      </c>
    </row>
    <row r="98" spans="1:4" s="60" customFormat="1" ht="29.25" customHeight="1">
      <c r="A98" s="34" t="s">
        <v>5</v>
      </c>
      <c r="B98" s="391" t="s">
        <v>97</v>
      </c>
      <c r="C98" s="392"/>
      <c r="D98" s="120">
        <f>+'Calculo 12 36 Diu Arm'!C230</f>
        <v>0</v>
      </c>
    </row>
    <row r="99" spans="1:4">
      <c r="A99" s="6" t="s">
        <v>6</v>
      </c>
      <c r="B99" s="377" t="s">
        <v>36</v>
      </c>
      <c r="C99" s="378"/>
      <c r="D99" s="8"/>
    </row>
    <row r="100" spans="1:4">
      <c r="A100" s="380" t="s">
        <v>29</v>
      </c>
      <c r="B100" s="380"/>
      <c r="C100" s="380"/>
      <c r="D100" s="9">
        <f>SUM(D96:D99)</f>
        <v>0</v>
      </c>
    </row>
    <row r="101" spans="1:4">
      <c r="D101" s="15"/>
    </row>
    <row r="102" spans="1:4">
      <c r="A102" s="13" t="s">
        <v>91</v>
      </c>
      <c r="B102" s="380" t="s">
        <v>100</v>
      </c>
      <c r="C102" s="380"/>
      <c r="D102" s="46" t="s">
        <v>24</v>
      </c>
    </row>
    <row r="103" spans="1:4" s="50" customFormat="1" ht="30" customHeight="1">
      <c r="A103" s="48" t="s">
        <v>3</v>
      </c>
      <c r="B103" s="393" t="s">
        <v>288</v>
      </c>
      <c r="C103" s="393"/>
      <c r="D103" s="49">
        <f>+'Calculo 12 36 Diu Arm'!C209</f>
        <v>0</v>
      </c>
    </row>
    <row r="104" spans="1:4">
      <c r="A104" s="380" t="s">
        <v>29</v>
      </c>
      <c r="B104" s="380"/>
      <c r="C104" s="380"/>
      <c r="D104" s="9">
        <f>SUM(D103:D103)</f>
        <v>0</v>
      </c>
    </row>
    <row r="106" spans="1:4">
      <c r="A106" s="62" t="s">
        <v>109</v>
      </c>
      <c r="B106" s="62"/>
      <c r="C106" s="62"/>
      <c r="D106" s="62"/>
    </row>
    <row r="107" spans="1:4">
      <c r="A107" s="6" t="s">
        <v>85</v>
      </c>
      <c r="B107" s="377" t="s">
        <v>86</v>
      </c>
      <c r="C107" s="378"/>
      <c r="D107" s="18">
        <f>+D93</f>
        <v>0</v>
      </c>
    </row>
    <row r="108" spans="1:4">
      <c r="A108" s="6" t="s">
        <v>99</v>
      </c>
      <c r="B108" s="377" t="s">
        <v>92</v>
      </c>
      <c r="C108" s="378"/>
      <c r="D108" s="18">
        <f>+D100</f>
        <v>0</v>
      </c>
    </row>
    <row r="109" spans="1:4">
      <c r="A109" s="74"/>
      <c r="B109" s="405" t="s">
        <v>110</v>
      </c>
      <c r="C109" s="406"/>
      <c r="D109" s="73">
        <f>+D108+D107</f>
        <v>0</v>
      </c>
    </row>
    <row r="110" spans="1:4">
      <c r="A110" s="6" t="s">
        <v>91</v>
      </c>
      <c r="B110" s="377" t="s">
        <v>100</v>
      </c>
      <c r="C110" s="378"/>
      <c r="D110" s="18">
        <f>+D104</f>
        <v>0</v>
      </c>
    </row>
    <row r="111" spans="1:4">
      <c r="A111" s="379" t="s">
        <v>29</v>
      </c>
      <c r="B111" s="379"/>
      <c r="C111" s="379"/>
      <c r="D111" s="71">
        <f>+D110+D109</f>
        <v>0</v>
      </c>
    </row>
    <row r="113" spans="1:4">
      <c r="A113" s="388" t="s">
        <v>151</v>
      </c>
      <c r="B113" s="389"/>
      <c r="C113" s="389"/>
      <c r="D113" s="389"/>
    </row>
    <row r="115" spans="1:4">
      <c r="A115" s="13">
        <v>5</v>
      </c>
      <c r="B115" s="373" t="s">
        <v>152</v>
      </c>
      <c r="C115" s="390"/>
      <c r="D115" s="46" t="s">
        <v>24</v>
      </c>
    </row>
    <row r="116" spans="1:4">
      <c r="A116" s="6" t="s">
        <v>3</v>
      </c>
      <c r="B116" s="323" t="s">
        <v>153</v>
      </c>
      <c r="C116" s="323"/>
      <c r="D116" s="8">
        <f>+Uniforme!G12</f>
        <v>0</v>
      </c>
    </row>
    <row r="117" spans="1:4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>
      <c r="A118" s="6" t="s">
        <v>4</v>
      </c>
      <c r="B118" s="323" t="s">
        <v>154</v>
      </c>
      <c r="C118" s="323"/>
      <c r="D118" s="8"/>
    </row>
    <row r="119" spans="1:4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>
      <c r="A120" s="6" t="s">
        <v>5</v>
      </c>
      <c r="B120" s="323" t="s">
        <v>155</v>
      </c>
      <c r="C120" s="323"/>
      <c r="D120" s="8">
        <f>+Uniforme!F27</f>
        <v>0</v>
      </c>
    </row>
    <row r="121" spans="1:4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>
      <c r="A122" s="6" t="s">
        <v>6</v>
      </c>
      <c r="B122" s="323" t="s">
        <v>36</v>
      </c>
      <c r="C122" s="323"/>
      <c r="D122" s="8"/>
    </row>
    <row r="123" spans="1:4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>
      <c r="A124" s="380" t="s">
        <v>29</v>
      </c>
      <c r="B124" s="380"/>
      <c r="C124" s="380"/>
      <c r="D124" s="9">
        <f>SUM(D116:D122)</f>
        <v>0</v>
      </c>
    </row>
    <row r="126" spans="1:4">
      <c r="A126" s="388" t="s">
        <v>156</v>
      </c>
      <c r="B126" s="389"/>
      <c r="C126" s="389"/>
      <c r="D126" s="389"/>
    </row>
    <row r="128" spans="1:4">
      <c r="A128" s="13">
        <v>6</v>
      </c>
      <c r="B128" s="14" t="s">
        <v>157</v>
      </c>
      <c r="C128" s="47" t="s">
        <v>50</v>
      </c>
      <c r="D128" s="46" t="s">
        <v>24</v>
      </c>
    </row>
    <row r="129" spans="1:4">
      <c r="A129" s="116" t="s">
        <v>3</v>
      </c>
      <c r="B129" s="116" t="s">
        <v>158</v>
      </c>
      <c r="C129" s="114">
        <v>0.03</v>
      </c>
      <c r="D129" s="301">
        <f>($D$124+$D$111+$D$79+$D$68+$D$23)*C129</f>
        <v>0</v>
      </c>
    </row>
    <row r="130" spans="1:4">
      <c r="A130" s="116" t="s">
        <v>4</v>
      </c>
      <c r="B130" s="116" t="s">
        <v>159</v>
      </c>
      <c r="C130" s="114">
        <v>0.03</v>
      </c>
      <c r="D130" s="301">
        <f>($D$124+$D$111+$D$79+$D$68+$D$23+D129)*C130</f>
        <v>0</v>
      </c>
    </row>
    <row r="131" spans="1:4" s="79" customFormat="1" ht="24" customHeight="1">
      <c r="A131" s="381" t="s">
        <v>181</v>
      </c>
      <c r="B131" s="382"/>
      <c r="C131" s="383"/>
      <c r="D131" s="81">
        <f>++D130+D129+D124+D111+D79+D68+D23</f>
        <v>0</v>
      </c>
    </row>
    <row r="132" spans="1:4" s="79" customFormat="1" ht="24" customHeight="1">
      <c r="A132" s="384" t="s">
        <v>182</v>
      </c>
      <c r="B132" s="385"/>
      <c r="C132" s="386"/>
      <c r="D132" s="81">
        <f>ROUND(D131/(1-(C135+C136+C138+C140+C141)),2)</f>
        <v>0</v>
      </c>
    </row>
    <row r="133" spans="1:4">
      <c r="A133" s="6" t="s">
        <v>5</v>
      </c>
      <c r="B133" s="6" t="s">
        <v>160</v>
      </c>
      <c r="C133" s="17"/>
      <c r="D133" s="6"/>
    </row>
    <row r="134" spans="1:4">
      <c r="A134" s="6" t="s">
        <v>161</v>
      </c>
      <c r="B134" s="6" t="s">
        <v>162</v>
      </c>
      <c r="C134" s="17"/>
      <c r="D134" s="6"/>
    </row>
    <row r="135" spans="1:4">
      <c r="A135" s="116" t="s">
        <v>163</v>
      </c>
      <c r="B135" s="116" t="s">
        <v>165</v>
      </c>
      <c r="C135" s="114">
        <v>6.4999999999999997E-3</v>
      </c>
      <c r="D135" s="301">
        <f>ROUND(C135*$D$132,2)</f>
        <v>0</v>
      </c>
    </row>
    <row r="136" spans="1:4">
      <c r="A136" s="116" t="s">
        <v>164</v>
      </c>
      <c r="B136" s="116" t="s">
        <v>166</v>
      </c>
      <c r="C136" s="114">
        <v>0.03</v>
      </c>
      <c r="D136" s="301">
        <f>ROUND(C136*$D$132,2)</f>
        <v>0</v>
      </c>
    </row>
    <row r="137" spans="1:4">
      <c r="A137" s="6" t="s">
        <v>167</v>
      </c>
      <c r="B137" s="6" t="s">
        <v>168</v>
      </c>
      <c r="C137" s="17"/>
      <c r="D137" s="18"/>
    </row>
    <row r="138" spans="1:4">
      <c r="A138" s="6" t="s">
        <v>170</v>
      </c>
      <c r="B138" s="6" t="s">
        <v>169</v>
      </c>
      <c r="C138" s="17"/>
      <c r="D138" s="6"/>
    </row>
    <row r="139" spans="1:4">
      <c r="A139" s="6" t="s">
        <v>171</v>
      </c>
      <c r="B139" s="6" t="s">
        <v>172</v>
      </c>
      <c r="C139" s="17"/>
      <c r="D139" s="6"/>
    </row>
    <row r="140" spans="1:4">
      <c r="A140" s="116" t="s">
        <v>173</v>
      </c>
      <c r="B140" s="116" t="s">
        <v>174</v>
      </c>
      <c r="C140" s="114">
        <v>0.05</v>
      </c>
      <c r="D140" s="301">
        <f>ROUND(C140*$D$132,2)</f>
        <v>0</v>
      </c>
    </row>
    <row r="141" spans="1:4">
      <c r="A141" s="6" t="s">
        <v>175</v>
      </c>
      <c r="B141" s="6" t="s">
        <v>176</v>
      </c>
      <c r="C141" s="17"/>
      <c r="D141" s="6"/>
    </row>
    <row r="142" spans="1:4">
      <c r="A142" s="373" t="s">
        <v>29</v>
      </c>
      <c r="B142" s="374"/>
      <c r="C142" s="80">
        <f>+C141+C140+C138+C136+C135+C130+C129</f>
        <v>0.14650000000000002</v>
      </c>
      <c r="D142" s="9">
        <f>+D140+D138+D136+D135+D130+D129</f>
        <v>0</v>
      </c>
    </row>
    <row r="144" spans="1:4">
      <c r="A144" s="387" t="s">
        <v>183</v>
      </c>
      <c r="B144" s="387"/>
      <c r="C144" s="387"/>
      <c r="D144" s="387"/>
    </row>
    <row r="145" spans="1:4">
      <c r="A145" s="6" t="s">
        <v>3</v>
      </c>
      <c r="B145" s="375" t="s">
        <v>185</v>
      </c>
      <c r="C145" s="375"/>
      <c r="D145" s="8">
        <f>+D23</f>
        <v>0</v>
      </c>
    </row>
    <row r="146" spans="1:4">
      <c r="A146" s="6" t="s">
        <v>184</v>
      </c>
      <c r="B146" s="375" t="s">
        <v>186</v>
      </c>
      <c r="C146" s="375"/>
      <c r="D146" s="8">
        <f>+D68</f>
        <v>0</v>
      </c>
    </row>
    <row r="147" spans="1:4">
      <c r="A147" s="6" t="s">
        <v>5</v>
      </c>
      <c r="B147" s="375" t="s">
        <v>187</v>
      </c>
      <c r="C147" s="375"/>
      <c r="D147" s="8">
        <f>+D79</f>
        <v>0</v>
      </c>
    </row>
    <row r="148" spans="1:4">
      <c r="A148" s="6" t="s">
        <v>6</v>
      </c>
      <c r="B148" s="375" t="s">
        <v>188</v>
      </c>
      <c r="C148" s="375"/>
      <c r="D148" s="8">
        <f>+D111</f>
        <v>0</v>
      </c>
    </row>
    <row r="149" spans="1:4">
      <c r="A149" s="6" t="s">
        <v>25</v>
      </c>
      <c r="B149" s="375" t="s">
        <v>189</v>
      </c>
      <c r="C149" s="375"/>
      <c r="D149" s="8">
        <f>+D124</f>
        <v>0</v>
      </c>
    </row>
    <row r="150" spans="1:4">
      <c r="B150" s="417" t="s">
        <v>192</v>
      </c>
      <c r="C150" s="417"/>
      <c r="D150" s="72">
        <f>SUM(D145:D149)</f>
        <v>0</v>
      </c>
    </row>
    <row r="151" spans="1:4">
      <c r="A151" s="6" t="s">
        <v>26</v>
      </c>
      <c r="B151" s="375" t="s">
        <v>190</v>
      </c>
      <c r="C151" s="375"/>
      <c r="D151" s="8">
        <f>+D142</f>
        <v>0</v>
      </c>
    </row>
    <row r="153" spans="1:4">
      <c r="A153" s="376" t="s">
        <v>191</v>
      </c>
      <c r="B153" s="376"/>
      <c r="C153" s="376"/>
      <c r="D153" s="82">
        <f>ROUND(+D151+D150,2)</f>
        <v>0</v>
      </c>
    </row>
    <row r="155" spans="1:4">
      <c r="A155" s="419" t="s">
        <v>77</v>
      </c>
      <c r="B155" s="419"/>
      <c r="C155" s="419"/>
      <c r="D155" s="419"/>
    </row>
    <row r="157" spans="1:4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>
      <c r="A162" s="6" t="s">
        <v>81</v>
      </c>
      <c r="B162" s="34" t="s">
        <v>79</v>
      </c>
      <c r="C162" s="418" t="e">
        <f>+(D162+D163+D164)/D23</f>
        <v>#DIV/0!</v>
      </c>
      <c r="D162" s="8">
        <f>ROUND(D29*(SUM($C$37:$C$44)),2)</f>
        <v>0</v>
      </c>
    </row>
    <row r="163" spans="1:5">
      <c r="A163" s="6" t="s">
        <v>82</v>
      </c>
      <c r="B163" s="34" t="s">
        <v>78</v>
      </c>
      <c r="C163" s="418"/>
      <c r="D163" s="8">
        <f>ROUND(D31*(SUM($C$37:$C$44)),2)</f>
        <v>0</v>
      </c>
    </row>
    <row r="164" spans="1:5">
      <c r="A164" s="6" t="s">
        <v>83</v>
      </c>
      <c r="B164" s="34" t="s">
        <v>80</v>
      </c>
      <c r="C164" s="418"/>
      <c r="D164" s="8">
        <f>ROUND(D32*(SUM($C$37:$C$44)),2)</f>
        <v>0</v>
      </c>
    </row>
    <row r="165" spans="1:5">
      <c r="A165" s="388" t="s">
        <v>29</v>
      </c>
      <c r="B165" s="389"/>
      <c r="C165" s="420"/>
      <c r="D165" s="45">
        <f>SUM(D157:D164)</f>
        <v>0</v>
      </c>
    </row>
    <row r="166" spans="1:5">
      <c r="B166" s="96"/>
      <c r="C166" s="96"/>
      <c r="D166" s="96"/>
    </row>
    <row r="167" spans="1:5" s="67" customFormat="1" ht="40.5" customHeight="1">
      <c r="A167" s="414" t="s">
        <v>289</v>
      </c>
      <c r="B167" s="414"/>
      <c r="C167" s="414"/>
      <c r="D167" s="414"/>
      <c r="E167" s="128"/>
    </row>
    <row r="168" spans="1:5">
      <c r="A168" s="97"/>
      <c r="B168" s="97"/>
      <c r="C168" s="97"/>
      <c r="D168" s="97"/>
      <c r="E168" s="97"/>
    </row>
    <row r="169" spans="1:5" ht="39.75" customHeight="1">
      <c r="A169" s="415" t="s">
        <v>290</v>
      </c>
      <c r="B169" s="415"/>
      <c r="C169" s="415"/>
      <c r="D169" s="415"/>
      <c r="E169" s="97"/>
    </row>
    <row r="170" spans="1:5">
      <c r="A170" s="97"/>
      <c r="B170" s="97"/>
      <c r="C170" s="97"/>
      <c r="D170" s="97"/>
      <c r="E170" s="97"/>
    </row>
    <row r="171" spans="1:5">
      <c r="A171" s="97" t="s">
        <v>363</v>
      </c>
      <c r="B171" s="97"/>
      <c r="C171" s="97"/>
      <c r="D171" s="97"/>
      <c r="E171" s="97"/>
    </row>
    <row r="172" spans="1:5">
      <c r="A172" s="97"/>
      <c r="B172" s="97"/>
      <c r="C172" s="97"/>
      <c r="D172" s="97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</sheetData>
  <mergeCells count="83">
    <mergeCell ref="A167:D167"/>
    <mergeCell ref="A169:D169"/>
    <mergeCell ref="B59:C59"/>
    <mergeCell ref="A63:D63"/>
    <mergeCell ref="A70:D70"/>
    <mergeCell ref="B146:C146"/>
    <mergeCell ref="B150:C150"/>
    <mergeCell ref="C162:C164"/>
    <mergeCell ref="A155:D155"/>
    <mergeCell ref="A165:C165"/>
    <mergeCell ref="A79:C79"/>
    <mergeCell ref="A61:B61"/>
    <mergeCell ref="B64:C64"/>
    <mergeCell ref="B65:C65"/>
    <mergeCell ref="B66:C66"/>
    <mergeCell ref="B67:C67"/>
    <mergeCell ref="A68:C68"/>
    <mergeCell ref="A10:D10"/>
    <mergeCell ref="A25:D25"/>
    <mergeCell ref="A27:D27"/>
    <mergeCell ref="A35:D35"/>
    <mergeCell ref="A47:D47"/>
    <mergeCell ref="B18:C18"/>
    <mergeCell ref="B21:C21"/>
    <mergeCell ref="B22:C22"/>
    <mergeCell ref="B19:C19"/>
    <mergeCell ref="B17:C17"/>
    <mergeCell ref="A83:D83"/>
    <mergeCell ref="B107:C107"/>
    <mergeCell ref="B108:C108"/>
    <mergeCell ref="B109:C109"/>
    <mergeCell ref="A104:C104"/>
    <mergeCell ref="B95:C95"/>
    <mergeCell ref="B96:C96"/>
    <mergeCell ref="A100:C100"/>
    <mergeCell ref="B92:C92"/>
    <mergeCell ref="B91:C91"/>
    <mergeCell ref="A1:D1"/>
    <mergeCell ref="C4:D4"/>
    <mergeCell ref="C5:D5"/>
    <mergeCell ref="C6:D6"/>
    <mergeCell ref="C7:D7"/>
    <mergeCell ref="C8:D8"/>
    <mergeCell ref="A3:D3"/>
    <mergeCell ref="A93:C93"/>
    <mergeCell ref="B12:C12"/>
    <mergeCell ref="A23:C23"/>
    <mergeCell ref="A33:C33"/>
    <mergeCell ref="B15:C15"/>
    <mergeCell ref="B16:C16"/>
    <mergeCell ref="B89:C89"/>
    <mergeCell ref="B90:C90"/>
    <mergeCell ref="B84:C84"/>
    <mergeCell ref="B85:C85"/>
    <mergeCell ref="B86:C86"/>
    <mergeCell ref="B87:C87"/>
    <mergeCell ref="B88:C88"/>
    <mergeCell ref="A81:D81"/>
    <mergeCell ref="A126:D126"/>
    <mergeCell ref="B97:C97"/>
    <mergeCell ref="B98:C98"/>
    <mergeCell ref="B99:C99"/>
    <mergeCell ref="B102:C102"/>
    <mergeCell ref="B103:C103"/>
    <mergeCell ref="B116:C116"/>
    <mergeCell ref="B118:C118"/>
    <mergeCell ref="B120:C120"/>
    <mergeCell ref="A142:B142"/>
    <mergeCell ref="B151:C151"/>
    <mergeCell ref="A153:C153"/>
    <mergeCell ref="B110:C110"/>
    <mergeCell ref="A111:C111"/>
    <mergeCell ref="B122:C122"/>
    <mergeCell ref="A124:C124"/>
    <mergeCell ref="B149:C149"/>
    <mergeCell ref="B148:C148"/>
    <mergeCell ref="B147:C147"/>
    <mergeCell ref="A131:C131"/>
    <mergeCell ref="A132:C132"/>
    <mergeCell ref="B145:C145"/>
    <mergeCell ref="A144:D144"/>
    <mergeCell ref="A113:D113"/>
    <mergeCell ref="B115:C115"/>
  </mergeCells>
  <pageMargins left="1.1599999999999999" right="0.11811023622047245" top="0.24" bottom="0.45" header="0.17" footer="0.23"/>
  <pageSetup paperSize="9" scale="90" orientation="portrait" r:id="rId1"/>
  <headerFooter>
    <oddFooter>&amp;A</oddFooter>
  </headerFooter>
  <rowBreaks count="2" manualBreakCount="2">
    <brk id="62" max="16383" man="1"/>
    <brk id="1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D230"/>
  <sheetViews>
    <sheetView topLeftCell="A41" workbookViewId="0">
      <selection activeCell="B94" sqref="B94"/>
    </sheetView>
  </sheetViews>
  <sheetFormatPr defaultRowHeight="12.75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>
      <c r="A1" s="433" t="s">
        <v>333</v>
      </c>
      <c r="B1" s="433"/>
      <c r="C1" s="433"/>
    </row>
    <row r="3" spans="1:3">
      <c r="A3" s="6" t="s">
        <v>102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(365.25/12/2)/(7/7)</f>
        <v>15.21875</v>
      </c>
    </row>
    <row r="6" spans="1:3">
      <c r="A6" s="34" t="s">
        <v>30</v>
      </c>
      <c r="B6" s="18">
        <f>+'Vigilante 12X36 Diurno Arm'!D12</f>
        <v>0</v>
      </c>
    </row>
    <row r="7" spans="1:3">
      <c r="A7" s="34" t="s">
        <v>241</v>
      </c>
      <c r="B7" s="18">
        <f>+'Vigilante 12X36 Diurno Arm'!D23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12X36 Diurno Arm'!D12</f>
        <v>0</v>
      </c>
    </row>
    <row r="11" spans="1:3">
      <c r="A11" s="6" t="s">
        <v>31</v>
      </c>
      <c r="B11" s="52"/>
      <c r="C11" s="90">
        <f>+'Vigilante 12X36 Diurno Arm'!D13</f>
        <v>0</v>
      </c>
    </row>
    <row r="12" spans="1:3">
      <c r="A12" s="6" t="s">
        <v>32</v>
      </c>
      <c r="B12" s="52"/>
      <c r="C12" s="90">
        <f>+'Vigilante 12X36 Diurno Arm'!D14</f>
        <v>0</v>
      </c>
    </row>
    <row r="13" spans="1:3">
      <c r="A13" s="6" t="s">
        <v>33</v>
      </c>
      <c r="B13" s="52"/>
      <c r="C13" s="90">
        <f>+'Vigilante 12X36 Diurno Arm'!D15</f>
        <v>0</v>
      </c>
    </row>
    <row r="14" spans="1:3">
      <c r="A14" s="6" t="s">
        <v>34</v>
      </c>
      <c r="B14" s="52"/>
      <c r="C14" s="90">
        <f>+'Vigilante 12X36 Diurno Arm'!D16</f>
        <v>0</v>
      </c>
    </row>
    <row r="15" spans="1:3">
      <c r="A15" t="s">
        <v>65</v>
      </c>
      <c r="B15" s="52"/>
      <c r="C15" s="90">
        <f>+'Vigilante 12X36 Diurno Arm'!D20</f>
        <v>0</v>
      </c>
    </row>
    <row r="16" spans="1:3">
      <c r="A16" s="35" t="s">
        <v>193</v>
      </c>
      <c r="B16" s="101"/>
      <c r="C16" s="102">
        <f>SUM(C10:C15)</f>
        <v>0</v>
      </c>
    </row>
    <row r="17" spans="1:3">
      <c r="A17" s="6" t="s">
        <v>102</v>
      </c>
      <c r="B17" s="57">
        <f>+B3</f>
        <v>220</v>
      </c>
      <c r="C17" s="54"/>
    </row>
    <row r="18" spans="1:3">
      <c r="A18" s="35" t="s">
        <v>103</v>
      </c>
      <c r="B18" s="101"/>
      <c r="C18" s="36">
        <f>+C16/B17</f>
        <v>0</v>
      </c>
    </row>
    <row r="19" spans="1:3">
      <c r="A19" s="6" t="s">
        <v>197</v>
      </c>
      <c r="B19" s="6">
        <v>16</v>
      </c>
      <c r="C19" s="54"/>
    </row>
    <row r="20" spans="1:3">
      <c r="A20" s="6" t="s">
        <v>198</v>
      </c>
      <c r="B20" s="6">
        <v>12</v>
      </c>
      <c r="C20" s="54"/>
    </row>
    <row r="21" spans="1:3">
      <c r="A21" s="6" t="s">
        <v>199</v>
      </c>
      <c r="B21" s="6">
        <f>+B20*B19</f>
        <v>192</v>
      </c>
      <c r="C21" s="8">
        <f>+B21*C18</f>
        <v>0</v>
      </c>
    </row>
    <row r="22" spans="1:3">
      <c r="A22" s="6" t="s">
        <v>200</v>
      </c>
      <c r="B22" s="17">
        <v>0.5</v>
      </c>
      <c r="C22" s="8">
        <f>+B22*C21</f>
        <v>0</v>
      </c>
    </row>
    <row r="23" spans="1:3">
      <c r="A23" s="6" t="s">
        <v>201</v>
      </c>
      <c r="B23" s="17">
        <v>1</v>
      </c>
      <c r="C23" s="8">
        <f>+B23*C22</f>
        <v>0</v>
      </c>
    </row>
    <row r="24" spans="1:3">
      <c r="A24" s="6" t="s">
        <v>202</v>
      </c>
      <c r="B24" s="6">
        <v>12</v>
      </c>
      <c r="C24" s="91"/>
    </row>
    <row r="25" spans="1:3">
      <c r="A25" s="431" t="s">
        <v>203</v>
      </c>
      <c r="B25" s="432"/>
      <c r="C25" s="45">
        <f>+C23/B24</f>
        <v>0</v>
      </c>
    </row>
    <row r="26" spans="1:3">
      <c r="C26" s="15"/>
    </row>
    <row r="27" spans="1:3">
      <c r="A27" s="434" t="s">
        <v>210</v>
      </c>
      <c r="B27" s="434"/>
      <c r="C27" s="434"/>
    </row>
    <row r="28" spans="1:3">
      <c r="A28" s="6" t="s">
        <v>103</v>
      </c>
      <c r="B28" s="52"/>
      <c r="C28" s="90">
        <f>+C18</f>
        <v>0</v>
      </c>
    </row>
    <row r="29" spans="1:3">
      <c r="A29" s="6" t="s">
        <v>199</v>
      </c>
      <c r="B29" s="6">
        <v>192</v>
      </c>
      <c r="C29" s="54"/>
    </row>
    <row r="30" spans="1:3">
      <c r="A30" s="6" t="s">
        <v>204</v>
      </c>
      <c r="B30" s="6">
        <f>+$B$4</f>
        <v>365.25</v>
      </c>
      <c r="C30" s="54"/>
    </row>
    <row r="31" spans="1:3">
      <c r="A31" s="6" t="s">
        <v>197</v>
      </c>
      <c r="B31" s="6">
        <v>16</v>
      </c>
      <c r="C31" s="54"/>
    </row>
    <row r="32" spans="1:3">
      <c r="A32" s="6" t="s">
        <v>200</v>
      </c>
      <c r="B32" s="17">
        <v>0.5</v>
      </c>
      <c r="C32" s="54"/>
    </row>
    <row r="33" spans="1:3">
      <c r="A33" s="6" t="s">
        <v>205</v>
      </c>
      <c r="B33" s="92">
        <f>ROUND(((B30/7)*6)-B31,2)</f>
        <v>297.07</v>
      </c>
      <c r="C33" s="54"/>
    </row>
    <row r="34" spans="1:3">
      <c r="A34" s="6" t="s">
        <v>206</v>
      </c>
      <c r="B34" s="34">
        <v>12</v>
      </c>
      <c r="C34" s="54"/>
    </row>
    <row r="35" spans="1:3" ht="25.5">
      <c r="A35" s="30" t="s">
        <v>207</v>
      </c>
      <c r="B35" s="6">
        <f>+((B29/B34)*B32)/B33</f>
        <v>2.6929679873430507E-2</v>
      </c>
      <c r="C35" s="54"/>
    </row>
    <row r="36" spans="1:3">
      <c r="A36" s="24" t="s">
        <v>208</v>
      </c>
      <c r="B36" s="24"/>
      <c r="C36" s="45">
        <f>+C28*(B30-B33)*B35</f>
        <v>0</v>
      </c>
    </row>
    <row r="37" spans="1:3">
      <c r="C37" s="15"/>
    </row>
    <row r="38" spans="1:3">
      <c r="A38" s="419" t="s">
        <v>107</v>
      </c>
      <c r="B38" s="419"/>
      <c r="C38" s="419"/>
    </row>
    <row r="39" spans="1:3">
      <c r="A39" s="55" t="s">
        <v>30</v>
      </c>
      <c r="B39" s="86"/>
      <c r="C39" s="56">
        <f>+'Vigilante 12X36 Diurno Arm'!D12</f>
        <v>0</v>
      </c>
    </row>
    <row r="40" spans="1:3">
      <c r="A40" s="55" t="s">
        <v>31</v>
      </c>
      <c r="B40" s="58"/>
      <c r="C40" s="56">
        <f>+'Vigilante 12X36 Diurno Arm'!D13</f>
        <v>0</v>
      </c>
    </row>
    <row r="41" spans="1:3">
      <c r="A41" s="55" t="s">
        <v>32</v>
      </c>
      <c r="B41" s="58"/>
      <c r="C41" s="56">
        <f>+'Vigilante 12X36 Diurno Arm'!D14</f>
        <v>0</v>
      </c>
    </row>
    <row r="42" spans="1:3">
      <c r="A42" s="55" t="s">
        <v>33</v>
      </c>
      <c r="B42" s="58"/>
      <c r="C42" s="56">
        <f>+'Vigilante 12X36 Diurno Arm'!D15</f>
        <v>0</v>
      </c>
    </row>
    <row r="43" spans="1:3">
      <c r="A43" s="55" t="s">
        <v>34</v>
      </c>
      <c r="B43" s="58"/>
      <c r="C43" s="56">
        <f>+'Vigilante 12X36 Diurno Arm'!D16</f>
        <v>0</v>
      </c>
    </row>
    <row r="44" spans="1:3">
      <c r="A44" s="55" t="s">
        <v>35</v>
      </c>
      <c r="B44" s="58"/>
      <c r="C44" s="56">
        <f>+'Vigilante 12X36 Diurno Arm'!D18</f>
        <v>0</v>
      </c>
    </row>
    <row r="45" spans="1:3">
      <c r="A45" s="55" t="s">
        <v>65</v>
      </c>
      <c r="B45" s="58"/>
      <c r="C45" s="56">
        <f>+'Vigilante 12X36 Diurno Arm'!D20</f>
        <v>0</v>
      </c>
    </row>
    <row r="46" spans="1:3">
      <c r="A46" s="35" t="s">
        <v>101</v>
      </c>
      <c r="B46" s="99"/>
      <c r="C46" s="100">
        <f>SUM(C39:C45)</f>
        <v>0</v>
      </c>
    </row>
    <row r="47" spans="1:3">
      <c r="A47" s="6" t="s">
        <v>102</v>
      </c>
      <c r="B47" s="57">
        <f>+B3</f>
        <v>220</v>
      </c>
      <c r="C47" s="58"/>
    </row>
    <row r="48" spans="1:3">
      <c r="A48" s="6" t="s">
        <v>103</v>
      </c>
      <c r="B48" s="58"/>
      <c r="C48" s="59">
        <f>ROUND(+C46/B47,2)</f>
        <v>0</v>
      </c>
    </row>
    <row r="49" spans="1:3">
      <c r="A49" s="6" t="s">
        <v>229</v>
      </c>
      <c r="B49" s="51">
        <f>(365.25/12/2)/(7/7)</f>
        <v>15.21875</v>
      </c>
      <c r="C49" s="58"/>
    </row>
    <row r="50" spans="1:3">
      <c r="A50" s="6" t="s">
        <v>105</v>
      </c>
      <c r="B50" s="17">
        <v>0.5</v>
      </c>
      <c r="C50" s="6"/>
    </row>
    <row r="51" spans="1:3">
      <c r="A51" s="431" t="s">
        <v>106</v>
      </c>
      <c r="B51" s="432"/>
      <c r="C51" s="45">
        <f>ROUND((B49*C48)*(1+B50),2)</f>
        <v>0</v>
      </c>
    </row>
    <row r="53" spans="1:3">
      <c r="A53" s="419" t="s">
        <v>212</v>
      </c>
      <c r="B53" s="419"/>
      <c r="C53" s="419"/>
    </row>
    <row r="54" spans="1:3">
      <c r="A54" s="6" t="s">
        <v>204</v>
      </c>
      <c r="B54" s="6">
        <v>365.25</v>
      </c>
      <c r="C54" s="52"/>
    </row>
    <row r="55" spans="1:3">
      <c r="A55" s="6" t="s">
        <v>206</v>
      </c>
      <c r="B55" s="34">
        <v>12</v>
      </c>
      <c r="C55" s="52"/>
    </row>
    <row r="56" spans="1:3">
      <c r="A56" s="6" t="s">
        <v>213</v>
      </c>
      <c r="B56" s="17">
        <v>0.5</v>
      </c>
      <c r="C56" s="52"/>
    </row>
    <row r="57" spans="1:3">
      <c r="A57" s="103" t="s">
        <v>388</v>
      </c>
      <c r="B57" s="34">
        <v>7</v>
      </c>
      <c r="C57" s="52"/>
    </row>
    <row r="58" spans="1:3">
      <c r="A58" s="34" t="s">
        <v>214</v>
      </c>
      <c r="B58" s="52"/>
      <c r="C58" s="18">
        <f>+'Vigilante 12X36 Diurno Arm'!$D$12</f>
        <v>0</v>
      </c>
    </row>
    <row r="59" spans="1:3">
      <c r="A59" s="34" t="s">
        <v>31</v>
      </c>
      <c r="B59" s="52"/>
      <c r="C59" s="18">
        <f>+'Vigilante 12X36 Diurno Arm'!$D$13</f>
        <v>0</v>
      </c>
    </row>
    <row r="60" spans="1:3">
      <c r="A60" s="34" t="s">
        <v>32</v>
      </c>
      <c r="B60" s="52"/>
      <c r="C60" s="18">
        <f>+'Vigilante 12X36 Diurno Arm'!$D$14</f>
        <v>0</v>
      </c>
    </row>
    <row r="61" spans="1:3">
      <c r="A61" s="104" t="s">
        <v>193</v>
      </c>
      <c r="B61" s="52"/>
      <c r="C61" s="105">
        <f>SUM(C58:C60)</f>
        <v>0</v>
      </c>
    </row>
    <row r="62" spans="1:3">
      <c r="A62" s="6" t="s">
        <v>102</v>
      </c>
      <c r="B62" s="106">
        <f>+B3</f>
        <v>220</v>
      </c>
      <c r="C62" s="52"/>
    </row>
    <row r="63" spans="1:3">
      <c r="A63" s="34" t="s">
        <v>215</v>
      </c>
      <c r="B63" s="17">
        <v>0.2</v>
      </c>
      <c r="C63" s="52"/>
    </row>
    <row r="64" spans="1:3">
      <c r="A64" s="34" t="s">
        <v>216</v>
      </c>
      <c r="B64" s="52"/>
      <c r="C64" s="8">
        <f>ROUND((C61/B62)*B63,2)</f>
        <v>0</v>
      </c>
    </row>
    <row r="65" spans="1:3">
      <c r="A65" s="34" t="s">
        <v>217</v>
      </c>
      <c r="B65" s="6">
        <f>ROUND(+B54/B55*B56*B57,0)</f>
        <v>107</v>
      </c>
      <c r="C65" s="53"/>
    </row>
    <row r="66" spans="1:3">
      <c r="A66" s="435" t="s">
        <v>218</v>
      </c>
      <c r="B66" s="435"/>
      <c r="C66" s="32">
        <f>ROUND(+B65*C64,2)</f>
        <v>0</v>
      </c>
    </row>
    <row r="68" spans="1:3">
      <c r="A68" s="434" t="s">
        <v>232</v>
      </c>
      <c r="B68" s="434"/>
      <c r="C68" s="434"/>
    </row>
    <row r="69" spans="1:3">
      <c r="A69" s="6" t="s">
        <v>103</v>
      </c>
      <c r="B69" s="52"/>
      <c r="C69" s="90">
        <f>+C66</f>
        <v>0</v>
      </c>
    </row>
    <row r="70" spans="1:3">
      <c r="A70" s="6" t="s">
        <v>199</v>
      </c>
      <c r="B70" s="6">
        <v>192</v>
      </c>
      <c r="C70" s="54"/>
    </row>
    <row r="71" spans="1:3">
      <c r="A71" s="6" t="s">
        <v>204</v>
      </c>
      <c r="B71" s="6">
        <f>+$B$4</f>
        <v>365.25</v>
      </c>
      <c r="C71" s="54"/>
    </row>
    <row r="72" spans="1:3">
      <c r="A72" s="6" t="s">
        <v>197</v>
      </c>
      <c r="B72" s="6">
        <v>16</v>
      </c>
      <c r="C72" s="54"/>
    </row>
    <row r="73" spans="1:3">
      <c r="A73" s="6" t="s">
        <v>200</v>
      </c>
      <c r="B73" s="17">
        <v>0.5</v>
      </c>
      <c r="C73" s="54"/>
    </row>
    <row r="74" spans="1:3">
      <c r="A74" s="6" t="s">
        <v>205</v>
      </c>
      <c r="B74" s="92">
        <f>ROUND(((B71/7)*6)-B72,2)</f>
        <v>297.07</v>
      </c>
      <c r="C74" s="54"/>
    </row>
    <row r="75" spans="1:3">
      <c r="A75" s="6" t="s">
        <v>206</v>
      </c>
      <c r="B75" s="34">
        <v>12</v>
      </c>
      <c r="C75" s="54"/>
    </row>
    <row r="76" spans="1:3" ht="25.5">
      <c r="A76" s="30" t="s">
        <v>207</v>
      </c>
      <c r="B76" s="6">
        <f>+((B70/B75)*B73)/B74</f>
        <v>2.6929679873430507E-2</v>
      </c>
      <c r="C76" s="54"/>
    </row>
    <row r="77" spans="1:3">
      <c r="A77" s="24" t="s">
        <v>208</v>
      </c>
      <c r="B77" s="24"/>
      <c r="C77" s="45">
        <f>+C69/B70*(B71-B74)*B76</f>
        <v>0</v>
      </c>
    </row>
    <row r="79" spans="1:3">
      <c r="A79" s="419" t="s">
        <v>219</v>
      </c>
      <c r="B79" s="419"/>
      <c r="C79" s="419"/>
    </row>
    <row r="80" spans="1:3">
      <c r="A80" s="6" t="s">
        <v>204</v>
      </c>
      <c r="B80" s="6">
        <f>+$B$4</f>
        <v>365.25</v>
      </c>
      <c r="C80" s="52"/>
    </row>
    <row r="81" spans="1:4">
      <c r="A81" s="6" t="s">
        <v>206</v>
      </c>
      <c r="B81" s="34">
        <v>12</v>
      </c>
      <c r="C81" s="52"/>
    </row>
    <row r="82" spans="1:4">
      <c r="A82" s="6" t="s">
        <v>213</v>
      </c>
      <c r="B82" s="17">
        <v>0.5</v>
      </c>
      <c r="C82" s="52"/>
      <c r="D82" s="109"/>
    </row>
    <row r="83" spans="1:4">
      <c r="A83" s="103" t="s">
        <v>388</v>
      </c>
      <c r="B83" s="34">
        <v>7</v>
      </c>
      <c r="C83" s="52"/>
      <c r="D83" s="109"/>
    </row>
    <row r="84" spans="1:4">
      <c r="A84" s="34" t="s">
        <v>220</v>
      </c>
      <c r="B84" s="51">
        <f>(365.25/12/2)/(7/7)</f>
        <v>15.21875</v>
      </c>
      <c r="C84" s="6"/>
      <c r="D84" s="109"/>
    </row>
    <row r="85" spans="1:4">
      <c r="A85" s="34" t="s">
        <v>221</v>
      </c>
      <c r="B85" s="6">
        <f>ROUND(+B84*B83,2)</f>
        <v>106.53</v>
      </c>
      <c r="C85" s="6"/>
    </row>
    <row r="86" spans="1:4">
      <c r="A86" s="34" t="s">
        <v>214</v>
      </c>
      <c r="B86" s="52"/>
      <c r="C86" s="18">
        <f>+'Vigilante 12X36 Diurno Arm'!$D$12</f>
        <v>0</v>
      </c>
    </row>
    <row r="87" spans="1:4">
      <c r="A87" s="34" t="s">
        <v>31</v>
      </c>
      <c r="B87" s="52"/>
      <c r="C87" s="18">
        <f>+'Vigilante 12X36 Diurno Arm'!$D$13</f>
        <v>0</v>
      </c>
    </row>
    <row r="88" spans="1:4">
      <c r="A88" s="34" t="s">
        <v>32</v>
      </c>
      <c r="B88" s="52"/>
      <c r="C88" s="18">
        <f>+'Vigilante 12X36 Diurno Arm'!$D$14</f>
        <v>0</v>
      </c>
    </row>
    <row r="89" spans="1:4">
      <c r="A89" s="104" t="s">
        <v>193</v>
      </c>
      <c r="B89" s="52"/>
      <c r="C89" s="105">
        <f>SUM(C86:C88)</f>
        <v>0</v>
      </c>
      <c r="D89" s="88"/>
    </row>
    <row r="90" spans="1:4">
      <c r="A90" s="6" t="s">
        <v>102</v>
      </c>
      <c r="B90" s="106">
        <f>+B3</f>
        <v>220</v>
      </c>
      <c r="C90" s="52"/>
    </row>
    <row r="91" spans="1:4">
      <c r="A91" s="34" t="s">
        <v>215</v>
      </c>
      <c r="B91" s="17">
        <v>0.2</v>
      </c>
      <c r="C91" s="52"/>
    </row>
    <row r="92" spans="1:4">
      <c r="A92" s="34" t="s">
        <v>216</v>
      </c>
      <c r="B92" s="52"/>
      <c r="C92" s="8">
        <f>ROUND((C89/B90)*B91,2)</f>
        <v>0</v>
      </c>
    </row>
    <row r="93" spans="1:4">
      <c r="A93" s="34" t="s">
        <v>223</v>
      </c>
      <c r="B93" s="6">
        <v>60</v>
      </c>
      <c r="C93" s="52"/>
    </row>
    <row r="94" spans="1:4">
      <c r="A94" s="34" t="s">
        <v>222</v>
      </c>
      <c r="B94" s="6">
        <v>52.5</v>
      </c>
      <c r="C94" s="52"/>
    </row>
    <row r="95" spans="1:4">
      <c r="A95" s="34" t="s">
        <v>224</v>
      </c>
      <c r="B95" s="6">
        <f>+B93/B94</f>
        <v>1.1428571428571428</v>
      </c>
      <c r="C95" s="52"/>
    </row>
    <row r="96" spans="1:4">
      <c r="A96" s="34" t="s">
        <v>225</v>
      </c>
      <c r="B96" s="6">
        <f>ROUND(+B95*B85,2)</f>
        <v>121.75</v>
      </c>
      <c r="C96" s="52"/>
    </row>
    <row r="97" spans="1:3">
      <c r="A97" s="34" t="s">
        <v>226</v>
      </c>
      <c r="B97" s="6">
        <f>ROUND(B96-B85,2)</f>
        <v>15.22</v>
      </c>
      <c r="C97" s="53"/>
    </row>
    <row r="98" spans="1:3">
      <c r="A98" s="379" t="s">
        <v>227</v>
      </c>
      <c r="B98" s="379"/>
      <c r="C98" s="71">
        <f>+B97*C92</f>
        <v>0</v>
      </c>
    </row>
    <row r="100" spans="1:3">
      <c r="A100" s="419" t="s">
        <v>233</v>
      </c>
      <c r="B100" s="419"/>
      <c r="C100" s="419"/>
    </row>
    <row r="101" spans="1:3">
      <c r="A101" s="6" t="s">
        <v>204</v>
      </c>
      <c r="B101" s="6">
        <f>+$B$4</f>
        <v>365.25</v>
      </c>
      <c r="C101" s="52"/>
    </row>
    <row r="102" spans="1:3">
      <c r="A102" s="6" t="s">
        <v>206</v>
      </c>
      <c r="B102" s="34">
        <v>12</v>
      </c>
      <c r="C102" s="52"/>
    </row>
    <row r="103" spans="1:3">
      <c r="A103" s="6" t="s">
        <v>213</v>
      </c>
      <c r="B103" s="17">
        <v>0.5</v>
      </c>
      <c r="C103" s="52"/>
    </row>
    <row r="104" spans="1:3">
      <c r="A104" s="34" t="s">
        <v>234</v>
      </c>
      <c r="B104" s="6">
        <f>ROUND((B101/B102)*B103,2)</f>
        <v>15.22</v>
      </c>
      <c r="C104" s="52"/>
    </row>
    <row r="105" spans="1:3">
      <c r="A105" s="198" t="s">
        <v>235</v>
      </c>
      <c r="B105" s="199"/>
      <c r="C105" s="52"/>
    </row>
    <row r="106" spans="1:3">
      <c r="A106" s="6" t="s">
        <v>236</v>
      </c>
      <c r="B106" s="17">
        <v>0.06</v>
      </c>
      <c r="C106" s="52"/>
    </row>
    <row r="107" spans="1:3">
      <c r="A107" s="431" t="s">
        <v>237</v>
      </c>
      <c r="B107" s="432"/>
      <c r="C107" s="45">
        <f>ROUND((B104*(B105*2)-($B$6*B106)),2)</f>
        <v>0</v>
      </c>
    </row>
    <row r="109" spans="1:3">
      <c r="A109" s="419" t="s">
        <v>238</v>
      </c>
      <c r="B109" s="419"/>
      <c r="C109" s="419"/>
    </row>
    <row r="110" spans="1:3">
      <c r="A110" s="6" t="s">
        <v>204</v>
      </c>
      <c r="B110" s="6">
        <f>+$B$4</f>
        <v>365.25</v>
      </c>
      <c r="C110" s="52"/>
    </row>
    <row r="111" spans="1:3">
      <c r="A111" s="6" t="s">
        <v>206</v>
      </c>
      <c r="B111" s="34">
        <v>12</v>
      </c>
      <c r="C111" s="52"/>
    </row>
    <row r="112" spans="1:3">
      <c r="A112" s="6" t="s">
        <v>213</v>
      </c>
      <c r="B112" s="17">
        <v>0.5</v>
      </c>
      <c r="C112" s="52"/>
    </row>
    <row r="113" spans="1:3">
      <c r="A113" s="34" t="s">
        <v>234</v>
      </c>
      <c r="B113" s="6">
        <f>ROUND((B110/B111)*B112,2)</f>
        <v>15.22</v>
      </c>
      <c r="C113" s="52"/>
    </row>
    <row r="114" spans="1:3">
      <c r="A114" s="198" t="s">
        <v>239</v>
      </c>
      <c r="B114" s="199"/>
      <c r="C114" s="52"/>
    </row>
    <row r="115" spans="1:3">
      <c r="A115" s="6" t="s">
        <v>366</v>
      </c>
      <c r="B115" s="17">
        <v>0.2</v>
      </c>
      <c r="C115" s="52"/>
    </row>
    <row r="116" spans="1:3">
      <c r="A116" s="431" t="s">
        <v>239</v>
      </c>
      <c r="B116" s="432"/>
      <c r="C116" s="45">
        <f>ROUND((B113*(B114)-((B113*B114)*B115)),2)</f>
        <v>0</v>
      </c>
    </row>
    <row r="118" spans="1:3">
      <c r="A118" s="419" t="s">
        <v>240</v>
      </c>
      <c r="B118" s="419"/>
      <c r="C118" s="419"/>
    </row>
    <row r="119" spans="1:3">
      <c r="A119" s="6" t="s">
        <v>242</v>
      </c>
      <c r="B119" s="18">
        <f>+B7</f>
        <v>0</v>
      </c>
      <c r="C119" s="52"/>
    </row>
    <row r="120" spans="1:3">
      <c r="A120" s="6" t="s">
        <v>243</v>
      </c>
      <c r="B120" s="6">
        <v>12</v>
      </c>
      <c r="C120" s="52"/>
    </row>
    <row r="121" spans="1:3">
      <c r="A121" s="116" t="s">
        <v>244</v>
      </c>
      <c r="B121" s="114"/>
      <c r="C121" s="52"/>
    </row>
    <row r="122" spans="1:3">
      <c r="A122" s="379" t="s">
        <v>245</v>
      </c>
      <c r="B122" s="379"/>
      <c r="C122" s="45">
        <f>ROUND(+(B119/B120)*B121,2)</f>
        <v>0</v>
      </c>
    </row>
    <row r="124" spans="1:3" ht="27" customHeight="1">
      <c r="A124" s="426" t="s">
        <v>246</v>
      </c>
      <c r="B124" s="427"/>
      <c r="C124" s="428"/>
    </row>
    <row r="125" spans="1:3" s="60" customFormat="1">
      <c r="A125" s="117" t="s">
        <v>251</v>
      </c>
      <c r="B125" s="114">
        <f>+B121</f>
        <v>0</v>
      </c>
      <c r="C125" s="52"/>
    </row>
    <row r="126" spans="1:3">
      <c r="A126" s="6" t="s">
        <v>247</v>
      </c>
      <c r="B126" s="18">
        <f>+'Vigilante 12X36 Diurno Arm'!$D$23</f>
        <v>0</v>
      </c>
      <c r="C126" s="52"/>
    </row>
    <row r="127" spans="1:3">
      <c r="A127" s="6" t="s">
        <v>46</v>
      </c>
      <c r="B127" s="18">
        <f>+'Vigilante 12X36 Diurno Arm'!$D$29</f>
        <v>0</v>
      </c>
      <c r="C127" s="52"/>
    </row>
    <row r="128" spans="1:3">
      <c r="A128" s="111" t="s">
        <v>45</v>
      </c>
      <c r="B128" s="18">
        <f>+'Vigilante 12X36 Diurno Arm'!$D$31</f>
        <v>0</v>
      </c>
      <c r="C128" s="52"/>
    </row>
    <row r="129" spans="1:3">
      <c r="A129" s="111" t="s">
        <v>44</v>
      </c>
      <c r="B129" s="18">
        <f>+'Vigilante 12X36 Diurno Arm'!$D$32</f>
        <v>0</v>
      </c>
      <c r="C129" s="52"/>
    </row>
    <row r="130" spans="1:3">
      <c r="A130" s="104" t="s">
        <v>248</v>
      </c>
      <c r="B130" s="105">
        <f>SUM(B126:B129)</f>
        <v>0</v>
      </c>
      <c r="C130" s="52"/>
    </row>
    <row r="131" spans="1:3">
      <c r="A131" s="25" t="s">
        <v>249</v>
      </c>
      <c r="B131" s="17">
        <v>0.4</v>
      </c>
      <c r="C131" s="52"/>
    </row>
    <row r="132" spans="1:3">
      <c r="A132" s="25" t="s">
        <v>250</v>
      </c>
      <c r="B132" s="17">
        <f>+'Vigilante 12X36 Diurno Arm'!$C$44</f>
        <v>0.08</v>
      </c>
      <c r="C132" s="52"/>
    </row>
    <row r="133" spans="1:3">
      <c r="A133" s="430" t="s">
        <v>252</v>
      </c>
      <c r="B133" s="430"/>
      <c r="C133" s="73">
        <f>ROUND(+B130*B131*B132*B125,2)</f>
        <v>0</v>
      </c>
    </row>
    <row r="134" spans="1:3">
      <c r="A134" s="25" t="s">
        <v>253</v>
      </c>
      <c r="B134" s="17">
        <v>0.1</v>
      </c>
      <c r="C134" s="52"/>
    </row>
    <row r="135" spans="1:3">
      <c r="A135" s="430" t="s">
        <v>254</v>
      </c>
      <c r="B135" s="430"/>
      <c r="C135" s="112">
        <f>ROUND(B134*B132*B130*B125,2)</f>
        <v>0</v>
      </c>
    </row>
    <row r="136" spans="1:3">
      <c r="A136" s="431" t="s">
        <v>255</v>
      </c>
      <c r="B136" s="432"/>
      <c r="C136" s="71">
        <f>+C135+C133</f>
        <v>0</v>
      </c>
    </row>
    <row r="138" spans="1:3">
      <c r="A138" s="419" t="s">
        <v>256</v>
      </c>
      <c r="B138" s="419"/>
      <c r="C138" s="419"/>
    </row>
    <row r="139" spans="1:3">
      <c r="A139" s="6" t="s">
        <v>242</v>
      </c>
      <c r="B139" s="18">
        <f>+B7</f>
        <v>0</v>
      </c>
      <c r="C139" s="52"/>
    </row>
    <row r="140" spans="1:3">
      <c r="A140" s="6" t="s">
        <v>257</v>
      </c>
      <c r="B140" s="113">
        <v>30</v>
      </c>
      <c r="C140" s="52"/>
    </row>
    <row r="141" spans="1:3">
      <c r="A141" s="6" t="s">
        <v>243</v>
      </c>
      <c r="B141" s="6">
        <v>12</v>
      </c>
      <c r="C141" s="52"/>
    </row>
    <row r="142" spans="1:3">
      <c r="A142" s="6" t="s">
        <v>258</v>
      </c>
      <c r="B142" s="6">
        <v>7</v>
      </c>
      <c r="C142" s="52"/>
    </row>
    <row r="143" spans="1:3">
      <c r="A143" s="116" t="s">
        <v>294</v>
      </c>
      <c r="B143" s="114"/>
      <c r="C143" s="52"/>
    </row>
    <row r="144" spans="1:3">
      <c r="A144" s="379" t="s">
        <v>369</v>
      </c>
      <c r="B144" s="379"/>
      <c r="C144" s="45">
        <f>+ROUND(((B139/B140/B141)*B142)*B143,2)</f>
        <v>0</v>
      </c>
    </row>
    <row r="146" spans="1:3" ht="24.75" customHeight="1">
      <c r="A146" s="426" t="s">
        <v>259</v>
      </c>
      <c r="B146" s="427"/>
      <c r="C146" s="428"/>
    </row>
    <row r="147" spans="1:3">
      <c r="A147" s="115" t="s">
        <v>260</v>
      </c>
      <c r="B147" s="114">
        <f>+B143</f>
        <v>0</v>
      </c>
      <c r="C147" s="52"/>
    </row>
    <row r="148" spans="1:3">
      <c r="A148" s="6" t="s">
        <v>247</v>
      </c>
      <c r="B148" s="18">
        <f>+'Vigilante 12X36 Diurno Arm'!$D$23</f>
        <v>0</v>
      </c>
      <c r="C148" s="52"/>
    </row>
    <row r="149" spans="1:3">
      <c r="A149" s="6" t="s">
        <v>46</v>
      </c>
      <c r="B149" s="18">
        <f>+'Vigilante 12X36 Diurno Arm'!$D$29</f>
        <v>0</v>
      </c>
      <c r="C149" s="52"/>
    </row>
    <row r="150" spans="1:3">
      <c r="A150" s="111" t="s">
        <v>45</v>
      </c>
      <c r="B150" s="18">
        <f>+'Vigilante 12X36 Diurno Arm'!$D$31</f>
        <v>0</v>
      </c>
      <c r="C150" s="52"/>
    </row>
    <row r="151" spans="1:3">
      <c r="A151" s="111" t="s">
        <v>44</v>
      </c>
      <c r="B151" s="18">
        <f>+'Vigilante 12X36 Diurno Arm'!$D$32</f>
        <v>0</v>
      </c>
      <c r="C151" s="52"/>
    </row>
    <row r="152" spans="1:3">
      <c r="A152" s="104" t="s">
        <v>248</v>
      </c>
      <c r="B152" s="105">
        <f>SUM(B148:B151)</f>
        <v>0</v>
      </c>
      <c r="C152" s="52"/>
    </row>
    <row r="153" spans="1:3">
      <c r="A153" s="25" t="s">
        <v>249</v>
      </c>
      <c r="B153" s="17">
        <v>0.4</v>
      </c>
      <c r="C153" s="52"/>
    </row>
    <row r="154" spans="1:3">
      <c r="A154" s="25" t="s">
        <v>250</v>
      </c>
      <c r="B154" s="17">
        <f>+'Vigilante 12X36 Diurno Arm'!$C$44</f>
        <v>0.08</v>
      </c>
      <c r="C154" s="52"/>
    </row>
    <row r="155" spans="1:3">
      <c r="A155" s="430" t="s">
        <v>252</v>
      </c>
      <c r="B155" s="430"/>
      <c r="C155" s="73">
        <f>ROUND(+B152*B153*B154*B147,2)</f>
        <v>0</v>
      </c>
    </row>
    <row r="156" spans="1:3">
      <c r="A156" s="25" t="s">
        <v>253</v>
      </c>
      <c r="B156" s="17">
        <v>0.1</v>
      </c>
      <c r="C156" s="52"/>
    </row>
    <row r="157" spans="1:3">
      <c r="A157" s="430" t="s">
        <v>254</v>
      </c>
      <c r="B157" s="430"/>
      <c r="C157" s="112">
        <f>ROUND(B156*B154*B152*B147,2)</f>
        <v>0</v>
      </c>
    </row>
    <row r="158" spans="1:3">
      <c r="A158" s="431" t="s">
        <v>387</v>
      </c>
      <c r="B158" s="432"/>
      <c r="C158" s="71">
        <f>+C157+C155</f>
        <v>0</v>
      </c>
    </row>
    <row r="160" spans="1:3">
      <c r="A160" s="426" t="s">
        <v>262</v>
      </c>
      <c r="B160" s="427"/>
      <c r="C160" s="428"/>
    </row>
    <row r="161" spans="1:3" ht="12.75" customHeight="1">
      <c r="A161" s="429" t="s">
        <v>359</v>
      </c>
      <c r="B161" s="429"/>
      <c r="C161" s="429"/>
    </row>
    <row r="162" spans="1:3">
      <c r="A162" s="429"/>
      <c r="B162" s="429"/>
      <c r="C162" s="429"/>
    </row>
    <row r="163" spans="1:3">
      <c r="A163" s="429"/>
      <c r="B163" s="429"/>
      <c r="C163" s="429"/>
    </row>
    <row r="164" spans="1:3">
      <c r="A164" s="429"/>
      <c r="B164" s="429"/>
      <c r="C164" s="429"/>
    </row>
    <row r="165" spans="1:3">
      <c r="A165" s="119"/>
      <c r="B165" s="119"/>
      <c r="C165" s="119"/>
    </row>
    <row r="166" spans="1:3">
      <c r="A166" s="422" t="s">
        <v>261</v>
      </c>
      <c r="B166" s="422"/>
      <c r="C166" s="422"/>
    </row>
    <row r="167" spans="1:3">
      <c r="A167" s="6" t="s">
        <v>263</v>
      </c>
      <c r="B167" s="18">
        <f>+$B$7</f>
        <v>0</v>
      </c>
      <c r="C167" s="52"/>
    </row>
    <row r="168" spans="1:3">
      <c r="A168" s="6" t="s">
        <v>206</v>
      </c>
      <c r="B168" s="6">
        <v>30</v>
      </c>
      <c r="C168" s="52"/>
    </row>
    <row r="169" spans="1:3">
      <c r="A169" s="6" t="s">
        <v>264</v>
      </c>
      <c r="B169" s="6">
        <v>12</v>
      </c>
      <c r="C169" s="52"/>
    </row>
    <row r="170" spans="1:3">
      <c r="A170" s="116" t="s">
        <v>265</v>
      </c>
      <c r="B170" s="116"/>
      <c r="C170" s="52"/>
    </row>
    <row r="171" spans="1:3">
      <c r="A171" s="379" t="s">
        <v>266</v>
      </c>
      <c r="B171" s="379"/>
      <c r="C171" s="24">
        <f>+ROUND((B167/B168/B169)*B170,2)</f>
        <v>0</v>
      </c>
    </row>
    <row r="173" spans="1:3">
      <c r="A173" s="422" t="s">
        <v>269</v>
      </c>
      <c r="B173" s="422"/>
      <c r="C173" s="422"/>
    </row>
    <row r="174" spans="1:3">
      <c r="A174" s="6" t="s">
        <v>263</v>
      </c>
      <c r="B174" s="18">
        <f>+$B$7</f>
        <v>0</v>
      </c>
      <c r="C174" s="52"/>
    </row>
    <row r="175" spans="1:3">
      <c r="A175" s="6" t="s">
        <v>206</v>
      </c>
      <c r="B175" s="6">
        <v>30</v>
      </c>
      <c r="C175" s="52"/>
    </row>
    <row r="176" spans="1:3">
      <c r="A176" s="6" t="s">
        <v>264</v>
      </c>
      <c r="B176" s="6">
        <v>12</v>
      </c>
      <c r="C176" s="52"/>
    </row>
    <row r="177" spans="1:3">
      <c r="A177" s="34" t="s">
        <v>267</v>
      </c>
      <c r="B177" s="6">
        <v>5</v>
      </c>
      <c r="C177" s="52"/>
    </row>
    <row r="178" spans="1:3">
      <c r="A178" s="116" t="s">
        <v>268</v>
      </c>
      <c r="B178" s="114"/>
      <c r="C178" s="52"/>
    </row>
    <row r="179" spans="1:3">
      <c r="A179" s="116" t="s">
        <v>270</v>
      </c>
      <c r="B179" s="114"/>
      <c r="C179" s="52"/>
    </row>
    <row r="180" spans="1:3">
      <c r="A180" s="379" t="s">
        <v>271</v>
      </c>
      <c r="B180" s="379"/>
      <c r="C180" s="45">
        <f>ROUND(+B174/B175/B176*B177*B178*B179,2)</f>
        <v>0</v>
      </c>
    </row>
    <row r="182" spans="1:3">
      <c r="A182" s="422" t="s">
        <v>272</v>
      </c>
      <c r="B182" s="422"/>
      <c r="C182" s="422"/>
    </row>
    <row r="183" spans="1:3">
      <c r="A183" s="6" t="s">
        <v>263</v>
      </c>
      <c r="B183" s="18">
        <f>+$B$7</f>
        <v>0</v>
      </c>
      <c r="C183" s="52"/>
    </row>
    <row r="184" spans="1:3">
      <c r="A184" s="6" t="s">
        <v>206</v>
      </c>
      <c r="B184" s="6">
        <v>30</v>
      </c>
      <c r="C184" s="52"/>
    </row>
    <row r="185" spans="1:3">
      <c r="A185" s="6" t="s">
        <v>264</v>
      </c>
      <c r="B185" s="6">
        <v>12</v>
      </c>
      <c r="C185" s="52"/>
    </row>
    <row r="186" spans="1:3">
      <c r="A186" s="34" t="s">
        <v>273</v>
      </c>
      <c r="B186" s="6">
        <v>15</v>
      </c>
      <c r="C186" s="52"/>
    </row>
    <row r="187" spans="1:3">
      <c r="A187" s="116" t="s">
        <v>274</v>
      </c>
      <c r="B187" s="114">
        <v>0.08</v>
      </c>
      <c r="C187" s="52"/>
    </row>
    <row r="188" spans="1:3">
      <c r="A188" s="379" t="s">
        <v>370</v>
      </c>
      <c r="B188" s="379"/>
      <c r="C188" s="45">
        <f>ROUND(+B183/B184/B185*B186*B187,2)</f>
        <v>0</v>
      </c>
    </row>
    <row r="190" spans="1:3">
      <c r="A190" s="422" t="s">
        <v>275</v>
      </c>
      <c r="B190" s="422"/>
      <c r="C190" s="422"/>
    </row>
    <row r="191" spans="1:3">
      <c r="A191" s="6" t="s">
        <v>263</v>
      </c>
      <c r="B191" s="18">
        <f>+$B$7</f>
        <v>0</v>
      </c>
      <c r="C191" s="52"/>
    </row>
    <row r="192" spans="1:3">
      <c r="A192" s="6" t="s">
        <v>206</v>
      </c>
      <c r="B192" s="6">
        <v>30</v>
      </c>
      <c r="C192" s="52"/>
    </row>
    <row r="193" spans="1:3">
      <c r="A193" s="6" t="s">
        <v>264</v>
      </c>
      <c r="B193" s="6">
        <v>12</v>
      </c>
      <c r="C193" s="52"/>
    </row>
    <row r="194" spans="1:3">
      <c r="A194" s="34" t="s">
        <v>273</v>
      </c>
      <c r="B194" s="6">
        <v>5</v>
      </c>
      <c r="C194" s="52"/>
    </row>
    <row r="195" spans="1:3">
      <c r="A195" s="116" t="s">
        <v>276</v>
      </c>
      <c r="B195" s="114"/>
      <c r="C195" s="52"/>
    </row>
    <row r="196" spans="1:3">
      <c r="A196" s="379" t="s">
        <v>371</v>
      </c>
      <c r="B196" s="379"/>
      <c r="C196" s="45">
        <f>ROUND(+B191/B192/B193*B194*B195,2)</f>
        <v>0</v>
      </c>
    </row>
    <row r="198" spans="1:3">
      <c r="A198" s="419" t="s">
        <v>108</v>
      </c>
      <c r="B198" s="419"/>
      <c r="C198" s="419"/>
    </row>
    <row r="199" spans="1:3">
      <c r="A199" s="83" t="s">
        <v>23</v>
      </c>
      <c r="B199" s="87"/>
      <c r="C199" s="18">
        <f>+'Vigilante 12X36 Diurno Arm'!D23-'Vigilante 12X36 Diurno Arm'!D21</f>
        <v>0</v>
      </c>
    </row>
    <row r="200" spans="1:3">
      <c r="A200" s="83" t="s">
        <v>68</v>
      </c>
      <c r="B200" s="87"/>
      <c r="C200" s="18">
        <f>+'Vigilante 12X36 Diurno Arm'!D68</f>
        <v>0</v>
      </c>
    </row>
    <row r="201" spans="1:3">
      <c r="A201" s="83" t="s">
        <v>153</v>
      </c>
      <c r="B201" s="87"/>
      <c r="C201" s="18">
        <f>+'Vigilante 12X36 Diurno Arm'!D116</f>
        <v>0</v>
      </c>
    </row>
    <row r="202" spans="1:3">
      <c r="A202" s="83" t="s">
        <v>86</v>
      </c>
      <c r="B202" s="87"/>
      <c r="C202" s="18">
        <f>+'Vigilante 12X36 Diurno Arm'!D107</f>
        <v>0</v>
      </c>
    </row>
    <row r="203" spans="1:3">
      <c r="A203" s="83" t="s">
        <v>92</v>
      </c>
      <c r="B203" s="87"/>
      <c r="C203" s="18">
        <f>+'Vigilante 12X36 Diurno Arm'!D108</f>
        <v>0</v>
      </c>
    </row>
    <row r="204" spans="1:3">
      <c r="A204" s="83" t="s">
        <v>70</v>
      </c>
      <c r="B204" s="87"/>
      <c r="C204" s="18">
        <f>+'Vigilante 12X36 Diurno Arm'!D79</f>
        <v>0</v>
      </c>
    </row>
    <row r="205" spans="1:3">
      <c r="A205" s="83" t="s">
        <v>193</v>
      </c>
      <c r="B205" s="87"/>
      <c r="C205" s="18">
        <f>SUM(C199:C204)</f>
        <v>0</v>
      </c>
    </row>
    <row r="206" spans="1:3">
      <c r="A206" s="83" t="s">
        <v>102</v>
      </c>
      <c r="B206" s="84">
        <v>220</v>
      </c>
      <c r="C206" s="85"/>
    </row>
    <row r="207" spans="1:3">
      <c r="A207" s="83" t="s">
        <v>103</v>
      </c>
      <c r="B207" s="87"/>
      <c r="C207" s="18">
        <f>ROUND(C205/B206,2)</f>
        <v>0</v>
      </c>
    </row>
    <row r="208" spans="1:3">
      <c r="A208" s="6" t="s">
        <v>104</v>
      </c>
      <c r="B208" s="51">
        <f>(365.25/12/2)/(7/7)</f>
        <v>15.21875</v>
      </c>
      <c r="C208" s="58"/>
    </row>
    <row r="209" spans="1:3">
      <c r="A209" s="431" t="s">
        <v>106</v>
      </c>
      <c r="B209" s="432"/>
      <c r="C209" s="71">
        <f>ROUND(+B208*C207,2)</f>
        <v>0</v>
      </c>
    </row>
    <row r="211" spans="1:3">
      <c r="A211" s="422" t="s">
        <v>277</v>
      </c>
      <c r="B211" s="422"/>
      <c r="C211" s="422"/>
    </row>
    <row r="212" spans="1:3">
      <c r="A212" s="423" t="s">
        <v>282</v>
      </c>
      <c r="B212" s="424"/>
      <c r="C212" s="425"/>
    </row>
    <row r="213" spans="1:3">
      <c r="A213" s="6" t="s">
        <v>263</v>
      </c>
      <c r="B213" s="18">
        <f>+$B$7</f>
        <v>0</v>
      </c>
      <c r="C213" s="52"/>
    </row>
    <row r="214" spans="1:3">
      <c r="A214" s="6" t="s">
        <v>281</v>
      </c>
      <c r="B214" s="18">
        <f>+B213*(1/3)</f>
        <v>0</v>
      </c>
      <c r="C214" s="52"/>
    </row>
    <row r="215" spans="1:3">
      <c r="A215" s="104" t="s">
        <v>248</v>
      </c>
      <c r="B215" s="105">
        <f>SUM(B213:B214)</f>
        <v>0</v>
      </c>
      <c r="C215" s="52"/>
    </row>
    <row r="216" spans="1:3">
      <c r="A216" s="6" t="s">
        <v>278</v>
      </c>
      <c r="B216" s="6">
        <v>4</v>
      </c>
      <c r="C216" s="52"/>
    </row>
    <row r="217" spans="1:3">
      <c r="A217" s="6" t="s">
        <v>264</v>
      </c>
      <c r="B217" s="6">
        <v>12</v>
      </c>
      <c r="C217" s="52"/>
    </row>
    <row r="218" spans="1:3">
      <c r="A218" s="116" t="s">
        <v>279</v>
      </c>
      <c r="B218" s="114"/>
      <c r="C218" s="52"/>
    </row>
    <row r="219" spans="1:3">
      <c r="A219" s="116" t="s">
        <v>280</v>
      </c>
      <c r="B219" s="114"/>
      <c r="C219" s="52"/>
    </row>
    <row r="220" spans="1:3">
      <c r="A220" s="379" t="s">
        <v>283</v>
      </c>
      <c r="B220" s="379"/>
      <c r="C220" s="45">
        <f>ROUND((((+B215*(B216/B217)/B217)*B218)*B219),2)</f>
        <v>0</v>
      </c>
    </row>
    <row r="221" spans="1:3">
      <c r="A221" s="379" t="s">
        <v>284</v>
      </c>
      <c r="B221" s="379"/>
      <c r="C221" s="379"/>
    </row>
    <row r="222" spans="1:3">
      <c r="A222" s="6" t="s">
        <v>263</v>
      </c>
      <c r="B222" s="18">
        <f>+'Vigilante 12X36 Diurno Arm'!D23</f>
        <v>0</v>
      </c>
      <c r="C222" s="52"/>
    </row>
    <row r="223" spans="1:3">
      <c r="A223" s="6" t="s">
        <v>46</v>
      </c>
      <c r="B223" s="18">
        <f>+'Vigilante 12X36 Diurno Arm'!D29</f>
        <v>0</v>
      </c>
      <c r="C223" s="52"/>
    </row>
    <row r="224" spans="1:3">
      <c r="A224" s="104" t="s">
        <v>248</v>
      </c>
      <c r="B224" s="105">
        <f>SUM(B222:B223)</f>
        <v>0</v>
      </c>
      <c r="C224" s="52"/>
    </row>
    <row r="225" spans="1:3">
      <c r="A225" s="6" t="s">
        <v>278</v>
      </c>
      <c r="B225" s="6">
        <v>4</v>
      </c>
      <c r="C225" s="52"/>
    </row>
    <row r="226" spans="1:3">
      <c r="A226" s="6" t="s">
        <v>264</v>
      </c>
      <c r="B226" s="6">
        <v>12</v>
      </c>
      <c r="C226" s="52"/>
    </row>
    <row r="227" spans="1:3">
      <c r="A227" s="116" t="s">
        <v>279</v>
      </c>
      <c r="B227" s="114"/>
      <c r="C227" s="52"/>
    </row>
    <row r="228" spans="1:3">
      <c r="A228" s="116" t="s">
        <v>280</v>
      </c>
      <c r="B228" s="114"/>
      <c r="C228" s="52"/>
    </row>
    <row r="229" spans="1:3">
      <c r="A229" s="34" t="s">
        <v>285</v>
      </c>
      <c r="B229" s="17">
        <f>+'Vigilante 12X36 Diurno Arm'!C45</f>
        <v>0.36800000000000005</v>
      </c>
      <c r="C229" s="52"/>
    </row>
    <row r="230" spans="1:3">
      <c r="A230" s="379" t="s">
        <v>286</v>
      </c>
      <c r="B230" s="379"/>
      <c r="C230" s="71">
        <f>ROUND((((B224*(B225/B226)*B227)*B228)*B229),2)</f>
        <v>0</v>
      </c>
    </row>
  </sheetData>
  <mergeCells count="44">
    <mergeCell ref="A221:C221"/>
    <mergeCell ref="A230:B230"/>
    <mergeCell ref="A1:C1"/>
    <mergeCell ref="A9:C9"/>
    <mergeCell ref="A25:B25"/>
    <mergeCell ref="A27:C27"/>
    <mergeCell ref="A38:C38"/>
    <mergeCell ref="A51:B51"/>
    <mergeCell ref="A209:B209"/>
    <mergeCell ref="A53:C53"/>
    <mergeCell ref="A66:B66"/>
    <mergeCell ref="A79:C79"/>
    <mergeCell ref="A98:B98"/>
    <mergeCell ref="A198:C198"/>
    <mergeCell ref="A68:C68"/>
    <mergeCell ref="A100:C100"/>
    <mergeCell ref="A107:B107"/>
    <mergeCell ref="A109:C109"/>
    <mergeCell ref="A116:B116"/>
    <mergeCell ref="A118:C118"/>
    <mergeCell ref="A122:B122"/>
    <mergeCell ref="A124:C124"/>
    <mergeCell ref="A135:B135"/>
    <mergeCell ref="A133:B133"/>
    <mergeCell ref="A136:B136"/>
    <mergeCell ref="A138:C138"/>
    <mergeCell ref="A144:B144"/>
    <mergeCell ref="A146:C146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211:C211"/>
    <mergeCell ref="A220:B220"/>
    <mergeCell ref="A212:C212"/>
    <mergeCell ref="A180:B180"/>
    <mergeCell ref="A182:C182"/>
    <mergeCell ref="A188:B188"/>
    <mergeCell ref="A190:C190"/>
    <mergeCell ref="A196:B196"/>
  </mergeCells>
  <pageMargins left="1.01" right="0.11" top="0.17" bottom="0.53" header="0.31496062992125984" footer="0.31496062992125984"/>
  <pageSetup paperSize="9" scale="90" orientation="portrait" r:id="rId1"/>
  <headerFooter>
    <oddFooter>&amp;A</oddFooter>
  </headerFooter>
  <rowBreaks count="2" manualBreakCount="2">
    <brk id="123" max="16383" man="1"/>
    <brk id="18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185"/>
  <sheetViews>
    <sheetView workbookViewId="0">
      <selection activeCell="A20" sqref="A20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3" spans="1:6">
      <c r="A3" s="388" t="s">
        <v>16</v>
      </c>
      <c r="B3" s="389"/>
      <c r="C3" s="389"/>
      <c r="D3" s="420"/>
    </row>
    <row r="4" spans="1:6" s="1" customFormat="1" ht="24.75" customHeight="1">
      <c r="A4" s="163">
        <v>1</v>
      </c>
      <c r="B4" s="164" t="s">
        <v>17</v>
      </c>
      <c r="C4" s="438" t="s">
        <v>356</v>
      </c>
      <c r="D4" s="439"/>
    </row>
    <row r="5" spans="1:6" s="1" customFormat="1">
      <c r="A5" s="163">
        <v>2</v>
      </c>
      <c r="B5" s="164" t="s">
        <v>18</v>
      </c>
      <c r="C5" s="440" t="s">
        <v>295</v>
      </c>
      <c r="D5" s="441"/>
    </row>
    <row r="6" spans="1:6" s="1" customFormat="1">
      <c r="A6" s="163">
        <v>3</v>
      </c>
      <c r="B6" s="164" t="s">
        <v>19</v>
      </c>
      <c r="C6" s="401"/>
      <c r="D6" s="401"/>
    </row>
    <row r="7" spans="1:6" s="1" customFormat="1" ht="42.75" customHeight="1">
      <c r="A7" s="163">
        <v>4</v>
      </c>
      <c r="B7" s="164" t="s">
        <v>21</v>
      </c>
      <c r="C7" s="442" t="s">
        <v>296</v>
      </c>
      <c r="D7" s="443"/>
    </row>
    <row r="8" spans="1:6" s="1" customFormat="1">
      <c r="A8" s="163">
        <v>5</v>
      </c>
      <c r="B8" s="164" t="s">
        <v>20</v>
      </c>
      <c r="C8" s="444">
        <v>42795</v>
      </c>
      <c r="D8" s="445"/>
    </row>
    <row r="9" spans="1:6">
      <c r="D9" s="197"/>
    </row>
    <row r="10" spans="1:6">
      <c r="A10" s="409" t="s">
        <v>22</v>
      </c>
      <c r="B10" s="409"/>
      <c r="C10" s="409"/>
      <c r="D10" s="409"/>
    </row>
    <row r="11" spans="1:6">
      <c r="A11" s="131" t="s">
        <v>297</v>
      </c>
      <c r="B11" s="94" t="s">
        <v>23</v>
      </c>
      <c r="C11" s="122" t="s">
        <v>50</v>
      </c>
      <c r="D11" s="5" t="s">
        <v>24</v>
      </c>
    </row>
    <row r="12" spans="1:6">
      <c r="A12" s="121" t="s">
        <v>3</v>
      </c>
      <c r="B12" s="323" t="s">
        <v>30</v>
      </c>
      <c r="C12" s="323"/>
      <c r="D12" s="7">
        <f>+C6</f>
        <v>0</v>
      </c>
    </row>
    <row r="13" spans="1:6">
      <c r="A13" s="121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>
      <c r="A14" s="121" t="s">
        <v>5</v>
      </c>
      <c r="B14" s="89" t="s">
        <v>32</v>
      </c>
      <c r="C14" s="95"/>
      <c r="D14" s="7"/>
    </row>
    <row r="15" spans="1:6">
      <c r="A15" s="121" t="s">
        <v>6</v>
      </c>
      <c r="B15" s="323" t="s">
        <v>33</v>
      </c>
      <c r="C15" s="323"/>
      <c r="D15" s="7">
        <f>+'Calculo 12 36 Not Arm'!C66</f>
        <v>0</v>
      </c>
    </row>
    <row r="16" spans="1:6">
      <c r="A16" s="121" t="s">
        <v>25</v>
      </c>
      <c r="B16" s="323" t="s">
        <v>34</v>
      </c>
      <c r="C16" s="323"/>
      <c r="D16" s="7">
        <f>+'Calculo 12 36 Not Arm'!C98</f>
        <v>0</v>
      </c>
    </row>
    <row r="17" spans="1:6">
      <c r="A17" s="121" t="s">
        <v>26</v>
      </c>
      <c r="B17" s="412" t="s">
        <v>231</v>
      </c>
      <c r="C17" s="413"/>
      <c r="D17" s="7"/>
    </row>
    <row r="18" spans="1:6">
      <c r="A18" s="121" t="s">
        <v>27</v>
      </c>
      <c r="B18" s="323" t="s">
        <v>35</v>
      </c>
      <c r="C18" s="323"/>
      <c r="D18" s="7"/>
    </row>
    <row r="19" spans="1:6">
      <c r="A19" s="121" t="s">
        <v>28</v>
      </c>
      <c r="B19" s="412" t="s">
        <v>195</v>
      </c>
      <c r="C19" s="413"/>
      <c r="D19" s="93"/>
    </row>
    <row r="20" spans="1:6">
      <c r="A20" s="121" t="s">
        <v>64</v>
      </c>
      <c r="B20" s="89" t="s">
        <v>65</v>
      </c>
      <c r="C20" s="95"/>
      <c r="D20" s="7"/>
    </row>
    <row r="21" spans="1:6">
      <c r="A21" s="121" t="s">
        <v>194</v>
      </c>
      <c r="B21" s="323" t="s">
        <v>95</v>
      </c>
      <c r="C21" s="323"/>
      <c r="D21" s="8"/>
      <c r="F21" s="98"/>
    </row>
    <row r="22" spans="1:6">
      <c r="A22" s="121" t="s">
        <v>196</v>
      </c>
      <c r="B22" s="323" t="s">
        <v>36</v>
      </c>
      <c r="C22" s="323"/>
      <c r="D22" s="8"/>
    </row>
    <row r="23" spans="1:6">
      <c r="A23" s="380" t="s">
        <v>29</v>
      </c>
      <c r="B23" s="380"/>
      <c r="C23" s="380"/>
      <c r="D23" s="9">
        <f>SUM(D12:D22)</f>
        <v>0</v>
      </c>
    </row>
    <row r="25" spans="1:6">
      <c r="A25" s="409" t="s">
        <v>37</v>
      </c>
      <c r="B25" s="409"/>
      <c r="C25" s="409"/>
      <c r="D25" s="409"/>
    </row>
    <row r="27" spans="1:6">
      <c r="A27" s="409" t="s">
        <v>38</v>
      </c>
      <c r="B27" s="409"/>
      <c r="C27" s="409"/>
      <c r="D27" s="409"/>
    </row>
    <row r="28" spans="1:6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>
      <c r="A29" s="121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>
      <c r="A31" s="121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>
      <c r="A32" s="121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>
      <c r="A33" s="380" t="s">
        <v>29</v>
      </c>
      <c r="B33" s="380"/>
      <c r="C33" s="380"/>
      <c r="D33" s="9">
        <f>+D30+D29</f>
        <v>0</v>
      </c>
    </row>
    <row r="35" spans="1:4" ht="34.5" customHeight="1">
      <c r="A35" s="404" t="s">
        <v>47</v>
      </c>
      <c r="B35" s="404"/>
      <c r="C35" s="404"/>
      <c r="D35" s="404"/>
    </row>
    <row r="36" spans="1:4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>
      <c r="A37" s="121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>
      <c r="A38" s="121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>
      <c r="A39" s="121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>
      <c r="A40" s="121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>
      <c r="A41" s="121" t="s">
        <v>25</v>
      </c>
      <c r="B41" s="6" t="s">
        <v>54</v>
      </c>
      <c r="C41" s="17">
        <v>0.01</v>
      </c>
      <c r="D41" s="18">
        <f t="shared" si="0"/>
        <v>0</v>
      </c>
    </row>
    <row r="42" spans="1:4">
      <c r="A42" s="121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>
      <c r="A43" s="121" t="s">
        <v>27</v>
      </c>
      <c r="B43" s="6" t="s">
        <v>56</v>
      </c>
      <c r="C43" s="17">
        <v>2E-3</v>
      </c>
      <c r="D43" s="18">
        <f t="shared" si="0"/>
        <v>0</v>
      </c>
    </row>
    <row r="44" spans="1:4">
      <c r="A44" s="121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>
      <c r="A45" s="123" t="s">
        <v>29</v>
      </c>
      <c r="B45" s="125"/>
      <c r="C45" s="41">
        <f>SUM(C37:C44)</f>
        <v>0.36800000000000005</v>
      </c>
      <c r="D45" s="42">
        <f>SUM(D37:D44)</f>
        <v>0</v>
      </c>
    </row>
    <row r="46" spans="1:4">
      <c r="A46" s="43"/>
      <c r="B46" s="43"/>
      <c r="C46" s="43"/>
      <c r="D46" s="43"/>
    </row>
    <row r="47" spans="1:4" ht="12.75" customHeight="1">
      <c r="A47" s="404" t="s">
        <v>59</v>
      </c>
      <c r="B47" s="404"/>
      <c r="C47" s="404"/>
      <c r="D47" s="404"/>
    </row>
    <row r="48" spans="1:4">
      <c r="A48" s="19" t="s">
        <v>60</v>
      </c>
      <c r="B48" s="21" t="s">
        <v>61</v>
      </c>
      <c r="C48" s="22"/>
      <c r="D48" s="20" t="s">
        <v>24</v>
      </c>
    </row>
    <row r="49" spans="1:6">
      <c r="A49" s="107" t="s">
        <v>3</v>
      </c>
      <c r="B49" s="6" t="s">
        <v>62</v>
      </c>
      <c r="C49" s="54"/>
      <c r="D49" s="18">
        <f>+'Calculo 12 36 Not Arm'!C107</f>
        <v>0</v>
      </c>
    </row>
    <row r="50" spans="1:6" s="60" customFormat="1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>
      <c r="A51" s="107" t="s">
        <v>4</v>
      </c>
      <c r="B51" s="6" t="s">
        <v>63</v>
      </c>
      <c r="C51" s="54"/>
      <c r="D51" s="18">
        <f>+'Calculo 12 36 Not Arm'!C116</f>
        <v>0</v>
      </c>
      <c r="F51" s="61"/>
    </row>
    <row r="52" spans="1:6" s="60" customFormat="1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>
      <c r="A53" s="6" t="s">
        <v>5</v>
      </c>
      <c r="B53" s="6" t="s">
        <v>66</v>
      </c>
      <c r="C53" s="54"/>
      <c r="D53" s="18"/>
      <c r="F53" s="61"/>
    </row>
    <row r="54" spans="1:6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>
      <c r="A55" s="116" t="s">
        <v>6</v>
      </c>
      <c r="B55" s="116" t="s">
        <v>389</v>
      </c>
      <c r="C55" s="54"/>
      <c r="D55" s="301"/>
      <c r="F55" s="61"/>
    </row>
    <row r="56" spans="1:6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>
      <c r="A57" s="116" t="s">
        <v>25</v>
      </c>
      <c r="B57" s="116" t="s">
        <v>396</v>
      </c>
      <c r="C57" s="54"/>
      <c r="D57" s="302"/>
      <c r="F57" s="130"/>
    </row>
    <row r="58" spans="1:6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>
      <c r="A59" s="116" t="s">
        <v>26</v>
      </c>
      <c r="B59" s="416" t="s">
        <v>293</v>
      </c>
      <c r="C59" s="416"/>
      <c r="D59" s="301"/>
    </row>
    <row r="60" spans="1:6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>
      <c r="A61" s="373" t="s">
        <v>29</v>
      </c>
      <c r="B61" s="390"/>
      <c r="C61" s="16"/>
      <c r="D61" s="129">
        <f>SUM(D49:D60)</f>
        <v>0</v>
      </c>
    </row>
    <row r="63" spans="1:6">
      <c r="A63" s="409" t="s">
        <v>67</v>
      </c>
      <c r="B63" s="409"/>
      <c r="C63" s="409"/>
      <c r="D63" s="409"/>
    </row>
    <row r="64" spans="1:6">
      <c r="A64" s="24">
        <v>2</v>
      </c>
      <c r="B64" s="409" t="s">
        <v>68</v>
      </c>
      <c r="C64" s="409"/>
      <c r="D64" s="127" t="s">
        <v>24</v>
      </c>
    </row>
    <row r="65" spans="1:4">
      <c r="A65" s="25" t="s">
        <v>39</v>
      </c>
      <c r="B65" s="421" t="s">
        <v>40</v>
      </c>
      <c r="C65" s="421"/>
      <c r="D65" s="18">
        <f>+D33</f>
        <v>0</v>
      </c>
    </row>
    <row r="66" spans="1:4">
      <c r="A66" s="25" t="s">
        <v>48</v>
      </c>
      <c r="B66" s="421" t="s">
        <v>49</v>
      </c>
      <c r="C66" s="421"/>
      <c r="D66" s="18">
        <f>+D45</f>
        <v>0</v>
      </c>
    </row>
    <row r="67" spans="1:4">
      <c r="A67" s="25" t="s">
        <v>60</v>
      </c>
      <c r="B67" s="421" t="s">
        <v>61</v>
      </c>
      <c r="C67" s="421"/>
      <c r="D67" s="68">
        <f>+D61</f>
        <v>0</v>
      </c>
    </row>
    <row r="68" spans="1:4">
      <c r="A68" s="409" t="s">
        <v>29</v>
      </c>
      <c r="B68" s="409"/>
      <c r="C68" s="409"/>
      <c r="D68" s="26">
        <f>SUM(D65:D67)</f>
        <v>0</v>
      </c>
    </row>
    <row r="70" spans="1:4">
      <c r="A70" s="409" t="s">
        <v>69</v>
      </c>
      <c r="B70" s="409"/>
      <c r="C70" s="409"/>
      <c r="D70" s="409"/>
    </row>
    <row r="72" spans="1:4">
      <c r="A72" s="13">
        <v>3</v>
      </c>
      <c r="B72" s="14" t="s">
        <v>70</v>
      </c>
      <c r="C72" s="122" t="s">
        <v>50</v>
      </c>
      <c r="D72" s="122" t="s">
        <v>24</v>
      </c>
    </row>
    <row r="73" spans="1:4">
      <c r="A73" s="121" t="s">
        <v>3</v>
      </c>
      <c r="B73" s="34" t="s">
        <v>72</v>
      </c>
      <c r="C73" s="29" t="e">
        <f>+D73/$D$23</f>
        <v>#DIV/0!</v>
      </c>
      <c r="D73" s="118">
        <f>+'Calculo 12 36 Not Arm'!C122</f>
        <v>0</v>
      </c>
    </row>
    <row r="74" spans="1:4">
      <c r="A74" s="121" t="s">
        <v>4</v>
      </c>
      <c r="B74" s="6" t="s">
        <v>73</v>
      </c>
      <c r="C74" s="52"/>
      <c r="D74" s="8">
        <f>ROUND(+D73*$C$44,2)</f>
        <v>0</v>
      </c>
    </row>
    <row r="75" spans="1:4" ht="25.5">
      <c r="A75" s="121" t="s">
        <v>5</v>
      </c>
      <c r="B75" s="30" t="s">
        <v>75</v>
      </c>
      <c r="C75" s="17" t="e">
        <f>+D75/$D$23</f>
        <v>#DIV/0!</v>
      </c>
      <c r="D75" s="8">
        <f>+'Calculo 12 36 Not Arm'!C136</f>
        <v>0</v>
      </c>
    </row>
    <row r="76" spans="1:4">
      <c r="A76" s="108" t="s">
        <v>6</v>
      </c>
      <c r="B76" s="6" t="s">
        <v>71</v>
      </c>
      <c r="C76" s="17" t="e">
        <f>+D76/$D$23</f>
        <v>#DIV/0!</v>
      </c>
      <c r="D76" s="8">
        <f>+'Calculo 12 36 Not Arm'!C144</f>
        <v>0</v>
      </c>
    </row>
    <row r="77" spans="1:4" ht="25.5">
      <c r="A77" s="108" t="s">
        <v>25</v>
      </c>
      <c r="B77" s="30" t="s">
        <v>74</v>
      </c>
      <c r="C77" s="52"/>
      <c r="D77" s="8">
        <f>+D76*C45</f>
        <v>0</v>
      </c>
    </row>
    <row r="78" spans="1:4" ht="25.5">
      <c r="A78" s="108" t="s">
        <v>26</v>
      </c>
      <c r="B78" s="30" t="s">
        <v>76</v>
      </c>
      <c r="C78" s="17" t="e">
        <f>+D78/$D$23</f>
        <v>#DIV/0!</v>
      </c>
      <c r="D78" s="18">
        <f>+'Calculo 12 36 Not Arm'!C158</f>
        <v>0</v>
      </c>
    </row>
    <row r="79" spans="1:4">
      <c r="A79" s="373" t="s">
        <v>29</v>
      </c>
      <c r="B79" s="374"/>
      <c r="C79" s="390"/>
      <c r="D79" s="32">
        <f>SUM(D73:D78)</f>
        <v>0</v>
      </c>
    </row>
    <row r="81" spans="1:4">
      <c r="A81" s="409" t="s">
        <v>84</v>
      </c>
      <c r="B81" s="409"/>
      <c r="C81" s="409"/>
      <c r="D81" s="409"/>
    </row>
    <row r="83" spans="1:4">
      <c r="A83" s="404" t="s">
        <v>87</v>
      </c>
      <c r="B83" s="404"/>
      <c r="C83" s="404"/>
      <c r="D83" s="404"/>
    </row>
    <row r="84" spans="1:4">
      <c r="A84" s="13" t="s">
        <v>85</v>
      </c>
      <c r="B84" s="373" t="s">
        <v>86</v>
      </c>
      <c r="C84" s="390"/>
      <c r="D84" s="122" t="s">
        <v>24</v>
      </c>
    </row>
    <row r="85" spans="1:4">
      <c r="A85" s="6" t="s">
        <v>3</v>
      </c>
      <c r="B85" s="377" t="s">
        <v>88</v>
      </c>
      <c r="C85" s="378"/>
      <c r="D85" s="8"/>
    </row>
    <row r="86" spans="1:4">
      <c r="A86" s="34" t="s">
        <v>4</v>
      </c>
      <c r="B86" s="396" t="s">
        <v>86</v>
      </c>
      <c r="C86" s="397"/>
      <c r="D86" s="120">
        <f>+'Calculo 12 36 Not Arm'!C171</f>
        <v>0</v>
      </c>
    </row>
    <row r="87" spans="1:4" s="60" customFormat="1">
      <c r="A87" s="34" t="s">
        <v>5</v>
      </c>
      <c r="B87" s="396" t="s">
        <v>89</v>
      </c>
      <c r="C87" s="397"/>
      <c r="D87" s="120">
        <f>+'Calculo 12 36 Not Arm'!C180</f>
        <v>0</v>
      </c>
    </row>
    <row r="88" spans="1:4" s="60" customFormat="1">
      <c r="A88" s="34" t="s">
        <v>6</v>
      </c>
      <c r="B88" s="396" t="s">
        <v>90</v>
      </c>
      <c r="C88" s="397"/>
      <c r="D88" s="120">
        <f>+'Calculo 12 36 Not Arm'!C188</f>
        <v>0</v>
      </c>
    </row>
    <row r="89" spans="1:4" s="60" customFormat="1" ht="13.5">
      <c r="A89" s="34" t="s">
        <v>25</v>
      </c>
      <c r="B89" s="396" t="s">
        <v>287</v>
      </c>
      <c r="C89" s="397"/>
      <c r="D89" s="120"/>
    </row>
    <row r="90" spans="1:4" s="60" customFormat="1">
      <c r="A90" s="34" t="s">
        <v>26</v>
      </c>
      <c r="B90" s="396" t="s">
        <v>93</v>
      </c>
      <c r="C90" s="397"/>
      <c r="D90" s="120">
        <f>+'Calculo 12 36 Not Arm'!C196</f>
        <v>0</v>
      </c>
    </row>
    <row r="91" spans="1:4">
      <c r="A91" s="6" t="s">
        <v>27</v>
      </c>
      <c r="B91" s="377" t="s">
        <v>36</v>
      </c>
      <c r="C91" s="378"/>
      <c r="D91" s="8"/>
    </row>
    <row r="92" spans="1:4">
      <c r="A92" s="6" t="s">
        <v>28</v>
      </c>
      <c r="B92" s="377" t="s">
        <v>94</v>
      </c>
      <c r="C92" s="378"/>
      <c r="D92" s="8">
        <f>ROUND((D86+D87+D88+D85+D89+D90+D91)*C45,2)</f>
        <v>0</v>
      </c>
    </row>
    <row r="93" spans="1:4">
      <c r="A93" s="380" t="s">
        <v>29</v>
      </c>
      <c r="B93" s="380"/>
      <c r="C93" s="380"/>
      <c r="D93" s="9">
        <f>SUM(D85:D92)</f>
        <v>0</v>
      </c>
    </row>
    <row r="94" spans="1:4">
      <c r="D94" s="15"/>
    </row>
    <row r="95" spans="1:4">
      <c r="A95" s="13" t="s">
        <v>99</v>
      </c>
      <c r="B95" s="373" t="s">
        <v>92</v>
      </c>
      <c r="C95" s="390"/>
      <c r="D95" s="122" t="s">
        <v>24</v>
      </c>
    </row>
    <row r="96" spans="1:4" s="60" customFormat="1">
      <c r="A96" s="34" t="s">
        <v>3</v>
      </c>
      <c r="B96" s="407" t="s">
        <v>96</v>
      </c>
      <c r="C96" s="408"/>
      <c r="D96" s="120">
        <f>+'Calculo 12 36 Not Arm'!C220</f>
        <v>0</v>
      </c>
    </row>
    <row r="97" spans="1:4" s="60" customFormat="1" ht="24.75" customHeight="1">
      <c r="A97" s="34" t="s">
        <v>4</v>
      </c>
      <c r="B97" s="391" t="s">
        <v>98</v>
      </c>
      <c r="C97" s="392"/>
      <c r="D97" s="120">
        <f>ROUND(D96*C45,2)</f>
        <v>0</v>
      </c>
    </row>
    <row r="98" spans="1:4" s="60" customFormat="1" ht="25.5" customHeight="1">
      <c r="A98" s="34" t="s">
        <v>5</v>
      </c>
      <c r="B98" s="391" t="s">
        <v>97</v>
      </c>
      <c r="C98" s="392"/>
      <c r="D98" s="120">
        <f>+'Calculo 12 36 Not Arm'!C230</f>
        <v>0</v>
      </c>
    </row>
    <row r="99" spans="1:4">
      <c r="A99" s="6" t="s">
        <v>6</v>
      </c>
      <c r="B99" s="377" t="s">
        <v>36</v>
      </c>
      <c r="C99" s="378"/>
      <c r="D99" s="8"/>
    </row>
    <row r="100" spans="1:4">
      <c r="A100" s="380" t="s">
        <v>29</v>
      </c>
      <c r="B100" s="380"/>
      <c r="C100" s="380"/>
      <c r="D100" s="9">
        <f>SUM(D96:D99)</f>
        <v>0</v>
      </c>
    </row>
    <row r="101" spans="1:4">
      <c r="D101" s="15"/>
    </row>
    <row r="102" spans="1:4">
      <c r="A102" s="13" t="s">
        <v>91</v>
      </c>
      <c r="B102" s="380" t="s">
        <v>100</v>
      </c>
      <c r="C102" s="380"/>
      <c r="D102" s="122" t="s">
        <v>24</v>
      </c>
    </row>
    <row r="103" spans="1:4" s="50" customFormat="1" ht="39.75" customHeight="1">
      <c r="A103" s="108" t="s">
        <v>3</v>
      </c>
      <c r="B103" s="393" t="s">
        <v>288</v>
      </c>
      <c r="C103" s="393"/>
      <c r="D103" s="49">
        <f>+'Calculo 12 36 Not Arm'!C209</f>
        <v>0</v>
      </c>
    </row>
    <row r="104" spans="1:4">
      <c r="A104" s="380" t="s">
        <v>29</v>
      </c>
      <c r="B104" s="380"/>
      <c r="C104" s="380"/>
      <c r="D104" s="9">
        <f>SUM(D103:D103)</f>
        <v>0</v>
      </c>
    </row>
    <row r="106" spans="1:4">
      <c r="A106" s="124" t="s">
        <v>109</v>
      </c>
      <c r="B106" s="124"/>
      <c r="C106" s="124"/>
      <c r="D106" s="124"/>
    </row>
    <row r="107" spans="1:4">
      <c r="A107" s="6" t="s">
        <v>85</v>
      </c>
      <c r="B107" s="377" t="s">
        <v>86</v>
      </c>
      <c r="C107" s="378"/>
      <c r="D107" s="18">
        <f>+D93</f>
        <v>0</v>
      </c>
    </row>
    <row r="108" spans="1:4">
      <c r="A108" s="6" t="s">
        <v>99</v>
      </c>
      <c r="B108" s="377" t="s">
        <v>92</v>
      </c>
      <c r="C108" s="378"/>
      <c r="D108" s="18">
        <f>+D100</f>
        <v>0</v>
      </c>
    </row>
    <row r="109" spans="1:4">
      <c r="A109" s="74"/>
      <c r="B109" s="405" t="s">
        <v>110</v>
      </c>
      <c r="C109" s="406"/>
      <c r="D109" s="73">
        <f>+D108+D107</f>
        <v>0</v>
      </c>
    </row>
    <row r="110" spans="1:4">
      <c r="A110" s="6" t="s">
        <v>91</v>
      </c>
      <c r="B110" s="377" t="s">
        <v>100</v>
      </c>
      <c r="C110" s="378"/>
      <c r="D110" s="18">
        <f>+D104</f>
        <v>0</v>
      </c>
    </row>
    <row r="111" spans="1:4">
      <c r="A111" s="379" t="s">
        <v>29</v>
      </c>
      <c r="B111" s="379"/>
      <c r="C111" s="379"/>
      <c r="D111" s="71">
        <f>+D110+D109</f>
        <v>0</v>
      </c>
    </row>
    <row r="113" spans="1:4">
      <c r="A113" s="409" t="s">
        <v>151</v>
      </c>
      <c r="B113" s="409"/>
      <c r="C113" s="409"/>
      <c r="D113" s="409"/>
    </row>
    <row r="115" spans="1:4">
      <c r="A115" s="13">
        <v>5</v>
      </c>
      <c r="B115" s="373" t="s">
        <v>152</v>
      </c>
      <c r="C115" s="390"/>
      <c r="D115" s="122" t="s">
        <v>24</v>
      </c>
    </row>
    <row r="116" spans="1:4">
      <c r="A116" s="6" t="s">
        <v>3</v>
      </c>
      <c r="B116" s="323" t="s">
        <v>153</v>
      </c>
      <c r="C116" s="323"/>
      <c r="D116" s="8">
        <f>+Uniforme!G47</f>
        <v>0</v>
      </c>
    </row>
    <row r="117" spans="1:4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>
      <c r="A118" s="6" t="s">
        <v>4</v>
      </c>
      <c r="B118" s="323" t="s">
        <v>154</v>
      </c>
      <c r="C118" s="323"/>
      <c r="D118" s="8"/>
    </row>
    <row r="119" spans="1:4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>
      <c r="A120" s="6" t="s">
        <v>5</v>
      </c>
      <c r="B120" s="323" t="s">
        <v>155</v>
      </c>
      <c r="C120" s="323"/>
      <c r="D120" s="8">
        <f>+Uniforme!F63</f>
        <v>0</v>
      </c>
    </row>
    <row r="121" spans="1:4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>
      <c r="A122" s="6" t="s">
        <v>6</v>
      </c>
      <c r="B122" s="323" t="s">
        <v>36</v>
      </c>
      <c r="C122" s="323"/>
      <c r="D122" s="8"/>
    </row>
    <row r="123" spans="1:4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>
      <c r="A124" s="380" t="s">
        <v>29</v>
      </c>
      <c r="B124" s="380"/>
      <c r="C124" s="380"/>
      <c r="D124" s="9">
        <f>SUM(D116:D122)</f>
        <v>0</v>
      </c>
    </row>
    <row r="126" spans="1:4">
      <c r="A126" s="409" t="s">
        <v>156</v>
      </c>
      <c r="B126" s="409"/>
      <c r="C126" s="409"/>
      <c r="D126" s="409"/>
    </row>
    <row r="128" spans="1:4">
      <c r="A128" s="13">
        <v>6</v>
      </c>
      <c r="B128" s="14" t="s">
        <v>157</v>
      </c>
      <c r="C128" s="126" t="s">
        <v>50</v>
      </c>
      <c r="D128" s="122" t="s">
        <v>24</v>
      </c>
    </row>
    <row r="129" spans="1:4">
      <c r="A129" s="116" t="s">
        <v>3</v>
      </c>
      <c r="B129" s="116" t="s">
        <v>158</v>
      </c>
      <c r="C129" s="114">
        <v>0.03</v>
      </c>
      <c r="D129" s="301">
        <f>($D$124+$D$111+$D$79+$D$68+$D$23)*C129</f>
        <v>0</v>
      </c>
    </row>
    <row r="130" spans="1:4">
      <c r="A130" s="116" t="s">
        <v>4</v>
      </c>
      <c r="B130" s="116" t="s">
        <v>159</v>
      </c>
      <c r="C130" s="114">
        <v>0.03</v>
      </c>
      <c r="D130" s="301">
        <f>($D$124+$D$111+$D$79+$D$68+$D$23+D129)*C130</f>
        <v>0</v>
      </c>
    </row>
    <row r="131" spans="1:4" s="79" customFormat="1">
      <c r="A131" s="381" t="s">
        <v>181</v>
      </c>
      <c r="B131" s="382"/>
      <c r="C131" s="383"/>
      <c r="D131" s="81">
        <f>++D130+D129+D124+D111+D79+D68+D23</f>
        <v>0</v>
      </c>
    </row>
    <row r="132" spans="1:4" s="79" customFormat="1">
      <c r="A132" s="384" t="s">
        <v>182</v>
      </c>
      <c r="B132" s="385"/>
      <c r="C132" s="386"/>
      <c r="D132" s="81">
        <f>ROUND(D131/(1-(C135+C136+C138+C140+C141)),2)</f>
        <v>0</v>
      </c>
    </row>
    <row r="133" spans="1:4">
      <c r="A133" s="6" t="s">
        <v>5</v>
      </c>
      <c r="B133" s="6" t="s">
        <v>160</v>
      </c>
      <c r="C133" s="17"/>
      <c r="D133" s="6"/>
    </row>
    <row r="134" spans="1:4">
      <c r="A134" s="6" t="s">
        <v>161</v>
      </c>
      <c r="B134" s="6" t="s">
        <v>162</v>
      </c>
      <c r="C134" s="17"/>
      <c r="D134" s="6"/>
    </row>
    <row r="135" spans="1:4">
      <c r="A135" s="116" t="s">
        <v>163</v>
      </c>
      <c r="B135" s="116" t="s">
        <v>165</v>
      </c>
      <c r="C135" s="114">
        <v>6.4999999999999997E-3</v>
      </c>
      <c r="D135" s="301">
        <f>ROUND(C135*$D$132,2)</f>
        <v>0</v>
      </c>
    </row>
    <row r="136" spans="1:4">
      <c r="A136" s="116" t="s">
        <v>164</v>
      </c>
      <c r="B136" s="116" t="s">
        <v>166</v>
      </c>
      <c r="C136" s="114">
        <v>0.03</v>
      </c>
      <c r="D136" s="301">
        <f>ROUND(C136*$D$132,2)</f>
        <v>0</v>
      </c>
    </row>
    <row r="137" spans="1:4">
      <c r="A137" s="6" t="s">
        <v>167</v>
      </c>
      <c r="B137" s="6" t="s">
        <v>168</v>
      </c>
      <c r="C137" s="17"/>
      <c r="D137" s="18"/>
    </row>
    <row r="138" spans="1:4">
      <c r="A138" s="6" t="s">
        <v>170</v>
      </c>
      <c r="B138" s="6" t="s">
        <v>169</v>
      </c>
      <c r="C138" s="17"/>
      <c r="D138" s="6"/>
    </row>
    <row r="139" spans="1:4">
      <c r="A139" s="6" t="s">
        <v>171</v>
      </c>
      <c r="B139" s="6" t="s">
        <v>172</v>
      </c>
      <c r="C139" s="17"/>
      <c r="D139" s="6"/>
    </row>
    <row r="140" spans="1:4">
      <c r="A140" s="116" t="s">
        <v>173</v>
      </c>
      <c r="B140" s="116" t="s">
        <v>174</v>
      </c>
      <c r="C140" s="114">
        <v>0.05</v>
      </c>
      <c r="D140" s="301">
        <f>ROUND(C140*$D$132,2)</f>
        <v>0</v>
      </c>
    </row>
    <row r="141" spans="1:4">
      <c r="A141" s="6" t="s">
        <v>175</v>
      </c>
      <c r="B141" s="6" t="s">
        <v>176</v>
      </c>
      <c r="C141" s="17"/>
      <c r="D141" s="6"/>
    </row>
    <row r="142" spans="1:4">
      <c r="A142" s="373" t="s">
        <v>29</v>
      </c>
      <c r="B142" s="374"/>
      <c r="C142" s="80">
        <f>+C141+C140+C138+C136+C135+C130+C129</f>
        <v>0.14650000000000002</v>
      </c>
      <c r="D142" s="9">
        <f>+D140+D138+D136+D135+D130+D129</f>
        <v>0</v>
      </c>
    </row>
    <row r="144" spans="1:4">
      <c r="A144" s="437" t="s">
        <v>183</v>
      </c>
      <c r="B144" s="437"/>
      <c r="C144" s="437"/>
      <c r="D144" s="437"/>
    </row>
    <row r="145" spans="1:4">
      <c r="A145" s="6" t="s">
        <v>3</v>
      </c>
      <c r="B145" s="375" t="s">
        <v>185</v>
      </c>
      <c r="C145" s="375"/>
      <c r="D145" s="8">
        <f>+D23</f>
        <v>0</v>
      </c>
    </row>
    <row r="146" spans="1:4">
      <c r="A146" s="6" t="s">
        <v>184</v>
      </c>
      <c r="B146" s="375" t="s">
        <v>186</v>
      </c>
      <c r="C146" s="375"/>
      <c r="D146" s="8">
        <f>+D68</f>
        <v>0</v>
      </c>
    </row>
    <row r="147" spans="1:4">
      <c r="A147" s="6" t="s">
        <v>5</v>
      </c>
      <c r="B147" s="375" t="s">
        <v>187</v>
      </c>
      <c r="C147" s="375"/>
      <c r="D147" s="8">
        <f>+D79</f>
        <v>0</v>
      </c>
    </row>
    <row r="148" spans="1:4">
      <c r="A148" s="6" t="s">
        <v>6</v>
      </c>
      <c r="B148" s="375" t="s">
        <v>188</v>
      </c>
      <c r="C148" s="375"/>
      <c r="D148" s="8">
        <f>+D111</f>
        <v>0</v>
      </c>
    </row>
    <row r="149" spans="1:4">
      <c r="A149" s="6" t="s">
        <v>25</v>
      </c>
      <c r="B149" s="375" t="s">
        <v>189</v>
      </c>
      <c r="C149" s="375"/>
      <c r="D149" s="8">
        <f>+D124</f>
        <v>0</v>
      </c>
    </row>
    <row r="150" spans="1:4">
      <c r="B150" s="417" t="s">
        <v>192</v>
      </c>
      <c r="C150" s="417"/>
      <c r="D150" s="72">
        <f>SUM(D145:D149)</f>
        <v>0</v>
      </c>
    </row>
    <row r="151" spans="1:4">
      <c r="A151" s="6" t="s">
        <v>26</v>
      </c>
      <c r="B151" s="375" t="s">
        <v>190</v>
      </c>
      <c r="C151" s="375"/>
      <c r="D151" s="8">
        <f>+D142</f>
        <v>0</v>
      </c>
    </row>
    <row r="153" spans="1:4">
      <c r="A153" s="436" t="s">
        <v>191</v>
      </c>
      <c r="B153" s="436"/>
      <c r="C153" s="436"/>
      <c r="D153" s="82">
        <f>ROUND(+D151+D150,2)</f>
        <v>0</v>
      </c>
    </row>
    <row r="155" spans="1:4">
      <c r="A155" s="419" t="s">
        <v>77</v>
      </c>
      <c r="B155" s="419"/>
      <c r="C155" s="419"/>
      <c r="D155" s="419"/>
    </row>
    <row r="157" spans="1:4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>
      <c r="A162" s="6" t="s">
        <v>81</v>
      </c>
      <c r="B162" s="34" t="s">
        <v>79</v>
      </c>
      <c r="C162" s="418" t="e">
        <f>+(D162+D163+D164)/D23</f>
        <v>#DIV/0!</v>
      </c>
      <c r="D162" s="8">
        <f>ROUND(D29*(SUM($C$37:$C$44)),2)</f>
        <v>0</v>
      </c>
    </row>
    <row r="163" spans="1:5">
      <c r="A163" s="6" t="s">
        <v>82</v>
      </c>
      <c r="B163" s="34" t="s">
        <v>78</v>
      </c>
      <c r="C163" s="418"/>
      <c r="D163" s="8">
        <f>ROUND(D31*(SUM($C$37:$C$44)),2)</f>
        <v>0</v>
      </c>
    </row>
    <row r="164" spans="1:5">
      <c r="A164" s="6" t="s">
        <v>83</v>
      </c>
      <c r="B164" s="34" t="s">
        <v>80</v>
      </c>
      <c r="C164" s="418"/>
      <c r="D164" s="8">
        <f>ROUND(D32*(SUM($C$37:$C$44)),2)</f>
        <v>0</v>
      </c>
    </row>
    <row r="165" spans="1:5">
      <c r="A165" s="388" t="s">
        <v>29</v>
      </c>
      <c r="B165" s="389"/>
      <c r="C165" s="420"/>
      <c r="D165" s="45">
        <f>SUM(D157:D164)</f>
        <v>0</v>
      </c>
    </row>
    <row r="166" spans="1:5">
      <c r="B166" s="96"/>
      <c r="C166" s="96"/>
      <c r="D166" s="96"/>
    </row>
    <row r="167" spans="1:5">
      <c r="A167" s="97"/>
      <c r="B167" s="97"/>
      <c r="C167" s="97"/>
      <c r="D167" s="97"/>
      <c r="E167" s="97"/>
    </row>
    <row r="168" spans="1:5" s="67" customFormat="1">
      <c r="A168" s="414" t="s">
        <v>289</v>
      </c>
      <c r="B168" s="414"/>
      <c r="C168" s="414"/>
      <c r="D168" s="414"/>
      <c r="E168" s="128"/>
    </row>
    <row r="169" spans="1:5">
      <c r="A169" s="97"/>
      <c r="B169" s="97"/>
      <c r="C169" s="97"/>
      <c r="D169" s="97"/>
      <c r="E169" s="97"/>
    </row>
    <row r="170" spans="1:5" ht="50.25" customHeight="1">
      <c r="A170" s="415" t="s">
        <v>290</v>
      </c>
      <c r="B170" s="415"/>
      <c r="C170" s="415"/>
      <c r="D170" s="415"/>
      <c r="E170" s="97"/>
    </row>
    <row r="171" spans="1:5">
      <c r="A171" s="97"/>
      <c r="B171" s="97"/>
      <c r="C171" s="97"/>
      <c r="D171" s="97"/>
      <c r="E171" s="97"/>
    </row>
    <row r="172" spans="1:5">
      <c r="A172" s="97"/>
      <c r="B172" s="97"/>
      <c r="C172" s="97"/>
      <c r="D172" s="97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  <row r="184" spans="1:5">
      <c r="A184" s="97"/>
      <c r="B184" s="97"/>
      <c r="C184" s="97"/>
      <c r="D184" s="97"/>
      <c r="E184" s="97"/>
    </row>
    <row r="185" spans="1:5">
      <c r="A185" s="97"/>
      <c r="B185" s="97"/>
      <c r="C185" s="97"/>
      <c r="D185" s="97"/>
      <c r="E185" s="97"/>
    </row>
  </sheetData>
  <mergeCells count="83"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7:C147"/>
    <mergeCell ref="B148:C148"/>
    <mergeCell ref="B149:C149"/>
    <mergeCell ref="B150:C150"/>
    <mergeCell ref="B151:C151"/>
    <mergeCell ref="A170:D170"/>
    <mergeCell ref="A153:C153"/>
    <mergeCell ref="A155:D155"/>
    <mergeCell ref="C162:C164"/>
    <mergeCell ref="A165:C165"/>
    <mergeCell ref="A168:D168"/>
  </mergeCells>
  <pageMargins left="1.26" right="0.12" top="0.35" bottom="0.52" header="0.31496062992125984" footer="0.31496062992125984"/>
  <pageSetup paperSize="9" scale="90" orientation="portrait" r:id="rId1"/>
  <headerFooter>
    <oddFooter>&amp;A</oddFooter>
  </headerFooter>
  <rowBreaks count="1" manualBreakCount="1">
    <brk id="1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D230"/>
  <sheetViews>
    <sheetView workbookViewId="0">
      <selection activeCell="A12" sqref="A12"/>
    </sheetView>
  </sheetViews>
  <sheetFormatPr defaultRowHeight="12.75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>
      <c r="A1" s="446" t="s">
        <v>332</v>
      </c>
      <c r="B1" s="446"/>
      <c r="C1" s="446"/>
    </row>
    <row r="3" spans="1:3">
      <c r="A3" s="6" t="s">
        <v>102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(365.25/12/2)/(7/7)</f>
        <v>15.21875</v>
      </c>
    </row>
    <row r="6" spans="1:3">
      <c r="A6" s="34" t="s">
        <v>30</v>
      </c>
      <c r="B6" s="18">
        <f>+'Vigilante 12x36 Noturno Arm'!D12</f>
        <v>0</v>
      </c>
    </row>
    <row r="7" spans="1:3">
      <c r="A7" s="34" t="s">
        <v>241</v>
      </c>
      <c r="B7" s="18">
        <f>+'Vigilante 12x36 Noturno Arm'!D23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12x36 Noturno Arm'!D12</f>
        <v>0</v>
      </c>
    </row>
    <row r="11" spans="1:3">
      <c r="A11" s="6" t="s">
        <v>31</v>
      </c>
      <c r="B11" s="52"/>
      <c r="C11" s="90">
        <f>+'Vigilante 12x36 Noturno Arm'!D13</f>
        <v>0</v>
      </c>
    </row>
    <row r="12" spans="1:3">
      <c r="A12" s="6" t="s">
        <v>32</v>
      </c>
      <c r="B12" s="52"/>
      <c r="C12" s="90">
        <f>+'Vigilante 12x36 Noturno Arm'!D14</f>
        <v>0</v>
      </c>
    </row>
    <row r="13" spans="1:3">
      <c r="A13" s="6" t="s">
        <v>33</v>
      </c>
      <c r="B13" s="52"/>
      <c r="C13" s="90">
        <f>+'Vigilante 12x36 Noturno Arm'!D15</f>
        <v>0</v>
      </c>
    </row>
    <row r="14" spans="1:3">
      <c r="A14" s="6" t="s">
        <v>34</v>
      </c>
      <c r="B14" s="52"/>
      <c r="C14" s="90">
        <f>+'Vigilante 12x36 Noturno Arm'!D16</f>
        <v>0</v>
      </c>
    </row>
    <row r="15" spans="1:3">
      <c r="A15" t="s">
        <v>65</v>
      </c>
      <c r="B15" s="52"/>
      <c r="C15" s="90">
        <f>+'Vigilante 12x36 Noturno Arm'!D20</f>
        <v>0</v>
      </c>
    </row>
    <row r="16" spans="1:3">
      <c r="A16" s="35" t="s">
        <v>193</v>
      </c>
      <c r="B16" s="101"/>
      <c r="C16" s="102">
        <f>SUM(C10:C15)</f>
        <v>0</v>
      </c>
    </row>
    <row r="17" spans="1:3">
      <c r="A17" s="6" t="s">
        <v>102</v>
      </c>
      <c r="B17" s="57">
        <f>+B3</f>
        <v>220</v>
      </c>
      <c r="C17" s="54"/>
    </row>
    <row r="18" spans="1:3">
      <c r="A18" s="35" t="s">
        <v>103</v>
      </c>
      <c r="B18" s="101"/>
      <c r="C18" s="36">
        <f>+C16/B17</f>
        <v>0</v>
      </c>
    </row>
    <row r="19" spans="1:3">
      <c r="A19" s="6" t="s">
        <v>197</v>
      </c>
      <c r="B19" s="6">
        <v>16</v>
      </c>
      <c r="C19" s="54"/>
    </row>
    <row r="20" spans="1:3">
      <c r="A20" s="6" t="s">
        <v>198</v>
      </c>
      <c r="B20" s="6">
        <v>12</v>
      </c>
      <c r="C20" s="54"/>
    </row>
    <row r="21" spans="1:3">
      <c r="A21" s="6" t="s">
        <v>199</v>
      </c>
      <c r="B21" s="6">
        <f>+B20*B19</f>
        <v>192</v>
      </c>
      <c r="C21" s="8">
        <f>+B21*C18</f>
        <v>0</v>
      </c>
    </row>
    <row r="22" spans="1:3">
      <c r="A22" s="6" t="s">
        <v>200</v>
      </c>
      <c r="B22" s="17">
        <v>0.5</v>
      </c>
      <c r="C22" s="8">
        <f>+B22*C21</f>
        <v>0</v>
      </c>
    </row>
    <row r="23" spans="1:3">
      <c r="A23" s="6" t="s">
        <v>201</v>
      </c>
      <c r="B23" s="17">
        <v>1</v>
      </c>
      <c r="C23" s="8">
        <f>+B23*C22</f>
        <v>0</v>
      </c>
    </row>
    <row r="24" spans="1:3">
      <c r="A24" s="6" t="s">
        <v>202</v>
      </c>
      <c r="B24" s="6">
        <v>12</v>
      </c>
      <c r="C24" s="91"/>
    </row>
    <row r="25" spans="1:3">
      <c r="A25" s="431" t="s">
        <v>203</v>
      </c>
      <c r="B25" s="432"/>
      <c r="C25" s="45">
        <f>+C23/B24</f>
        <v>0</v>
      </c>
    </row>
    <row r="26" spans="1:3">
      <c r="C26" s="15"/>
    </row>
    <row r="27" spans="1:3">
      <c r="A27" s="434" t="s">
        <v>210</v>
      </c>
      <c r="B27" s="434"/>
      <c r="C27" s="434"/>
    </row>
    <row r="28" spans="1:3">
      <c r="A28" s="6" t="s">
        <v>103</v>
      </c>
      <c r="B28" s="52"/>
      <c r="C28" s="90">
        <f>+C18</f>
        <v>0</v>
      </c>
    </row>
    <row r="29" spans="1:3">
      <c r="A29" s="6" t="s">
        <v>199</v>
      </c>
      <c r="B29" s="6">
        <v>192</v>
      </c>
      <c r="C29" s="54"/>
    </row>
    <row r="30" spans="1:3">
      <c r="A30" s="6" t="s">
        <v>204</v>
      </c>
      <c r="B30" s="6">
        <f>+$B$4</f>
        <v>365.25</v>
      </c>
      <c r="C30" s="54"/>
    </row>
    <row r="31" spans="1:3">
      <c r="A31" s="6" t="s">
        <v>197</v>
      </c>
      <c r="B31" s="6">
        <v>16</v>
      </c>
      <c r="C31" s="54"/>
    </row>
    <row r="32" spans="1:3">
      <c r="A32" s="6" t="s">
        <v>200</v>
      </c>
      <c r="B32" s="17">
        <v>0.5</v>
      </c>
      <c r="C32" s="54"/>
    </row>
    <row r="33" spans="1:3">
      <c r="A33" s="6" t="s">
        <v>205</v>
      </c>
      <c r="B33" s="92">
        <f>ROUND(((B30/7)*6)-B31,2)</f>
        <v>297.07</v>
      </c>
      <c r="C33" s="54"/>
    </row>
    <row r="34" spans="1:3">
      <c r="A34" s="6" t="s">
        <v>206</v>
      </c>
      <c r="B34" s="34">
        <v>12</v>
      </c>
      <c r="C34" s="54"/>
    </row>
    <row r="35" spans="1:3" ht="25.5">
      <c r="A35" s="30" t="s">
        <v>207</v>
      </c>
      <c r="B35" s="6">
        <f>+((B29/B34)*B32)/B33</f>
        <v>2.6929679873430507E-2</v>
      </c>
      <c r="C35" s="54"/>
    </row>
    <row r="36" spans="1:3">
      <c r="A36" s="24" t="s">
        <v>208</v>
      </c>
      <c r="B36" s="24"/>
      <c r="C36" s="45">
        <f>+C28*(B30-B33)*B35</f>
        <v>0</v>
      </c>
    </row>
    <row r="37" spans="1:3">
      <c r="C37" s="15"/>
    </row>
    <row r="38" spans="1:3">
      <c r="A38" s="419" t="s">
        <v>107</v>
      </c>
      <c r="B38" s="419"/>
      <c r="C38" s="419"/>
    </row>
    <row r="39" spans="1:3">
      <c r="A39" s="55" t="s">
        <v>30</v>
      </c>
      <c r="B39" s="86"/>
      <c r="C39" s="56">
        <f>+'Vigilante 12x36 Noturno Arm'!D12</f>
        <v>0</v>
      </c>
    </row>
    <row r="40" spans="1:3">
      <c r="A40" s="55" t="s">
        <v>31</v>
      </c>
      <c r="B40" s="58"/>
      <c r="C40" s="56">
        <f>+'Vigilante 12x36 Noturno Arm'!D13</f>
        <v>0</v>
      </c>
    </row>
    <row r="41" spans="1:3">
      <c r="A41" s="55" t="s">
        <v>32</v>
      </c>
      <c r="B41" s="58"/>
      <c r="C41" s="56">
        <f>+'Vigilante 12x36 Noturno Arm'!D14</f>
        <v>0</v>
      </c>
    </row>
    <row r="42" spans="1:3">
      <c r="A42" s="55" t="s">
        <v>33</v>
      </c>
      <c r="B42" s="58"/>
      <c r="C42" s="56">
        <f>+'Vigilante 12x36 Noturno Arm'!D15</f>
        <v>0</v>
      </c>
    </row>
    <row r="43" spans="1:3">
      <c r="A43" s="55" t="s">
        <v>34</v>
      </c>
      <c r="B43" s="58"/>
      <c r="C43" s="56">
        <f>+'Vigilante 12x36 Noturno Arm'!D16</f>
        <v>0</v>
      </c>
    </row>
    <row r="44" spans="1:3">
      <c r="A44" s="55" t="s">
        <v>35</v>
      </c>
      <c r="B44" s="58"/>
      <c r="C44" s="56">
        <f>+'Vigilante 12x36 Noturno Arm'!D18</f>
        <v>0</v>
      </c>
    </row>
    <row r="45" spans="1:3">
      <c r="A45" s="55" t="s">
        <v>65</v>
      </c>
      <c r="B45" s="58"/>
      <c r="C45" s="56">
        <f>+'Vigilante 12x36 Noturno Arm'!D20</f>
        <v>0</v>
      </c>
    </row>
    <row r="46" spans="1:3">
      <c r="A46" s="35" t="s">
        <v>101</v>
      </c>
      <c r="B46" s="99"/>
      <c r="C46" s="100">
        <f>SUM(C39:C45)</f>
        <v>0</v>
      </c>
    </row>
    <row r="47" spans="1:3">
      <c r="A47" s="6" t="s">
        <v>102</v>
      </c>
      <c r="B47" s="57">
        <f>+B3</f>
        <v>220</v>
      </c>
      <c r="C47" s="58"/>
    </row>
    <row r="48" spans="1:3">
      <c r="A48" s="6" t="s">
        <v>103</v>
      </c>
      <c r="B48" s="58"/>
      <c r="C48" s="59">
        <f>ROUND(+C46/B47,2)</f>
        <v>0</v>
      </c>
    </row>
    <row r="49" spans="1:3">
      <c r="A49" s="6" t="s">
        <v>229</v>
      </c>
      <c r="B49" s="51">
        <f>(365.25/12/2)/(7/7)</f>
        <v>15.21875</v>
      </c>
      <c r="C49" s="58"/>
    </row>
    <row r="50" spans="1:3">
      <c r="A50" s="6" t="s">
        <v>105</v>
      </c>
      <c r="B50" s="17">
        <v>0.5</v>
      </c>
      <c r="C50" s="6"/>
    </row>
    <row r="51" spans="1:3">
      <c r="A51" s="431" t="s">
        <v>106</v>
      </c>
      <c r="B51" s="432"/>
      <c r="C51" s="45">
        <f>ROUND((B49*C48)*(1+B50),2)</f>
        <v>0</v>
      </c>
    </row>
    <row r="53" spans="1:3">
      <c r="A53" s="419" t="s">
        <v>212</v>
      </c>
      <c r="B53" s="419"/>
      <c r="C53" s="419"/>
    </row>
    <row r="54" spans="1:3">
      <c r="A54" s="6" t="s">
        <v>204</v>
      </c>
      <c r="B54" s="6">
        <v>365.25</v>
      </c>
      <c r="C54" s="52"/>
    </row>
    <row r="55" spans="1:3">
      <c r="A55" s="6" t="s">
        <v>206</v>
      </c>
      <c r="B55" s="34">
        <v>12</v>
      </c>
      <c r="C55" s="52"/>
    </row>
    <row r="56" spans="1:3">
      <c r="A56" s="6" t="s">
        <v>213</v>
      </c>
      <c r="B56" s="17">
        <v>0.5</v>
      </c>
      <c r="C56" s="52"/>
    </row>
    <row r="57" spans="1:3">
      <c r="A57" s="103" t="s">
        <v>388</v>
      </c>
      <c r="B57" s="34">
        <v>7</v>
      </c>
      <c r="C57" s="52"/>
    </row>
    <row r="58" spans="1:3">
      <c r="A58" s="34" t="s">
        <v>214</v>
      </c>
      <c r="B58" s="52"/>
      <c r="C58" s="18">
        <f>+'Vigilante 12x36 Noturno Arm'!$D$12</f>
        <v>0</v>
      </c>
    </row>
    <row r="59" spans="1:3">
      <c r="A59" s="34" t="s">
        <v>31</v>
      </c>
      <c r="B59" s="52"/>
      <c r="C59" s="18">
        <f>+'Vigilante 12x36 Noturno Arm'!$D$13</f>
        <v>0</v>
      </c>
    </row>
    <row r="60" spans="1:3">
      <c r="A60" s="34" t="s">
        <v>32</v>
      </c>
      <c r="B60" s="52"/>
      <c r="C60" s="18">
        <f>+'Vigilante 12x36 Noturno Arm'!$D$14</f>
        <v>0</v>
      </c>
    </row>
    <row r="61" spans="1:3">
      <c r="A61" s="104" t="s">
        <v>193</v>
      </c>
      <c r="B61" s="52"/>
      <c r="C61" s="105">
        <f>SUM(C58:C60)</f>
        <v>0</v>
      </c>
    </row>
    <row r="62" spans="1:3">
      <c r="A62" s="6" t="s">
        <v>102</v>
      </c>
      <c r="B62" s="106">
        <f>+B3</f>
        <v>220</v>
      </c>
      <c r="C62" s="52"/>
    </row>
    <row r="63" spans="1:3">
      <c r="A63" s="34" t="s">
        <v>215</v>
      </c>
      <c r="B63" s="17">
        <v>0.2</v>
      </c>
      <c r="C63" s="52"/>
    </row>
    <row r="64" spans="1:3">
      <c r="A64" s="34" t="s">
        <v>216</v>
      </c>
      <c r="B64" s="52"/>
      <c r="C64" s="8">
        <f>ROUND((C61/B62)*B63,2)</f>
        <v>0</v>
      </c>
    </row>
    <row r="65" spans="1:3">
      <c r="A65" s="34" t="s">
        <v>217</v>
      </c>
      <c r="B65" s="6">
        <f>ROUND(+B54/B55*B56*B57,0)</f>
        <v>107</v>
      </c>
      <c r="C65" s="53"/>
    </row>
    <row r="66" spans="1:3">
      <c r="A66" s="435" t="s">
        <v>218</v>
      </c>
      <c r="B66" s="435"/>
      <c r="C66" s="32">
        <f>ROUND(+B65*C64,2)</f>
        <v>0</v>
      </c>
    </row>
    <row r="68" spans="1:3">
      <c r="A68" s="434" t="s">
        <v>232</v>
      </c>
      <c r="B68" s="434"/>
      <c r="C68" s="434"/>
    </row>
    <row r="69" spans="1:3">
      <c r="A69" s="6" t="s">
        <v>103</v>
      </c>
      <c r="B69" s="52"/>
      <c r="C69" s="90">
        <f>+C66</f>
        <v>0</v>
      </c>
    </row>
    <row r="70" spans="1:3">
      <c r="A70" s="6" t="s">
        <v>199</v>
      </c>
      <c r="B70" s="6">
        <v>192</v>
      </c>
      <c r="C70" s="54"/>
    </row>
    <row r="71" spans="1:3">
      <c r="A71" s="6" t="s">
        <v>204</v>
      </c>
      <c r="B71" s="6">
        <f>+$B$4</f>
        <v>365.25</v>
      </c>
      <c r="C71" s="54"/>
    </row>
    <row r="72" spans="1:3">
      <c r="A72" s="6" t="s">
        <v>197</v>
      </c>
      <c r="B72" s="6">
        <v>16</v>
      </c>
      <c r="C72" s="54"/>
    </row>
    <row r="73" spans="1:3">
      <c r="A73" s="6" t="s">
        <v>200</v>
      </c>
      <c r="B73" s="17">
        <v>0.5</v>
      </c>
      <c r="C73" s="54"/>
    </row>
    <row r="74" spans="1:3">
      <c r="A74" s="6" t="s">
        <v>205</v>
      </c>
      <c r="B74" s="92">
        <f>ROUND(((B71/7)*6)-B72,2)</f>
        <v>297.07</v>
      </c>
      <c r="C74" s="54"/>
    </row>
    <row r="75" spans="1:3">
      <c r="A75" s="6" t="s">
        <v>206</v>
      </c>
      <c r="B75" s="34">
        <v>12</v>
      </c>
      <c r="C75" s="54"/>
    </row>
    <row r="76" spans="1:3" ht="25.5">
      <c r="A76" s="30" t="s">
        <v>207</v>
      </c>
      <c r="B76" s="6">
        <f>+((B70/B75)*B73)/B74</f>
        <v>2.6929679873430507E-2</v>
      </c>
      <c r="C76" s="54"/>
    </row>
    <row r="77" spans="1:3">
      <c r="A77" s="24" t="s">
        <v>208</v>
      </c>
      <c r="B77" s="24"/>
      <c r="C77" s="45">
        <f>+C69/B70*(B71-B74)*B76</f>
        <v>0</v>
      </c>
    </row>
    <row r="79" spans="1:3">
      <c r="A79" s="419" t="s">
        <v>219</v>
      </c>
      <c r="B79" s="419"/>
      <c r="C79" s="419"/>
    </row>
    <row r="80" spans="1:3">
      <c r="A80" s="6" t="s">
        <v>204</v>
      </c>
      <c r="B80" s="6">
        <f>+$B$4</f>
        <v>365.25</v>
      </c>
      <c r="C80" s="52"/>
    </row>
    <row r="81" spans="1:4">
      <c r="A81" s="6" t="s">
        <v>206</v>
      </c>
      <c r="B81" s="34">
        <v>12</v>
      </c>
      <c r="C81" s="52"/>
    </row>
    <row r="82" spans="1:4">
      <c r="A82" s="6" t="s">
        <v>213</v>
      </c>
      <c r="B82" s="17">
        <v>0.5</v>
      </c>
      <c r="C82" s="52"/>
      <c r="D82" s="109"/>
    </row>
    <row r="83" spans="1:4">
      <c r="A83" s="103" t="s">
        <v>388</v>
      </c>
      <c r="B83" s="34">
        <v>7</v>
      </c>
      <c r="C83" s="52"/>
      <c r="D83" s="109"/>
    </row>
    <row r="84" spans="1:4">
      <c r="A84" s="34" t="s">
        <v>220</v>
      </c>
      <c r="B84" s="51">
        <f>(365.25/12/2)/(7/7)</f>
        <v>15.21875</v>
      </c>
      <c r="C84" s="6"/>
      <c r="D84" s="109"/>
    </row>
    <row r="85" spans="1:4">
      <c r="A85" s="34" t="s">
        <v>221</v>
      </c>
      <c r="B85" s="6">
        <f>ROUND(+B84*B83,2)</f>
        <v>106.53</v>
      </c>
      <c r="C85" s="6"/>
    </row>
    <row r="86" spans="1:4">
      <c r="A86" s="34" t="s">
        <v>214</v>
      </c>
      <c r="B86" s="52"/>
      <c r="C86" s="18">
        <f>+'Vigilante 12x36 Noturno Arm'!$D$12</f>
        <v>0</v>
      </c>
    </row>
    <row r="87" spans="1:4">
      <c r="A87" s="34" t="s">
        <v>31</v>
      </c>
      <c r="B87" s="52"/>
      <c r="C87" s="18">
        <f>+'Vigilante 12x36 Noturno Arm'!$D$13</f>
        <v>0</v>
      </c>
    </row>
    <row r="88" spans="1:4">
      <c r="A88" s="34" t="s">
        <v>32</v>
      </c>
      <c r="B88" s="52"/>
      <c r="C88" s="18">
        <f>+'Vigilante 12x36 Noturno Arm'!$D$14</f>
        <v>0</v>
      </c>
    </row>
    <row r="89" spans="1:4">
      <c r="A89" s="104" t="s">
        <v>193</v>
      </c>
      <c r="B89" s="52"/>
      <c r="C89" s="105">
        <f>SUM(C86:C88)</f>
        <v>0</v>
      </c>
      <c r="D89" s="88"/>
    </row>
    <row r="90" spans="1:4">
      <c r="A90" s="6" t="s">
        <v>102</v>
      </c>
      <c r="B90" s="106">
        <f>+B3</f>
        <v>220</v>
      </c>
      <c r="C90" s="52"/>
    </row>
    <row r="91" spans="1:4">
      <c r="A91" s="34" t="s">
        <v>215</v>
      </c>
      <c r="B91" s="17">
        <v>0.2</v>
      </c>
      <c r="C91" s="52"/>
    </row>
    <row r="92" spans="1:4">
      <c r="A92" s="34" t="s">
        <v>216</v>
      </c>
      <c r="B92" s="52"/>
      <c r="C92" s="8">
        <f>ROUND((C89/B90)*B91,2)</f>
        <v>0</v>
      </c>
    </row>
    <row r="93" spans="1:4">
      <c r="A93" s="34" t="s">
        <v>223</v>
      </c>
      <c r="B93" s="6">
        <v>60</v>
      </c>
      <c r="C93" s="52"/>
    </row>
    <row r="94" spans="1:4">
      <c r="A94" s="34" t="s">
        <v>222</v>
      </c>
      <c r="B94" s="6">
        <v>52.5</v>
      </c>
      <c r="C94" s="52"/>
    </row>
    <row r="95" spans="1:4">
      <c r="A95" s="34" t="s">
        <v>224</v>
      </c>
      <c r="B95" s="6">
        <f>+B93/B94</f>
        <v>1.1428571428571428</v>
      </c>
      <c r="C95" s="52"/>
    </row>
    <row r="96" spans="1:4">
      <c r="A96" s="34" t="s">
        <v>225</v>
      </c>
      <c r="B96" s="6">
        <f>ROUND(+B95*B85,2)</f>
        <v>121.75</v>
      </c>
      <c r="C96" s="52"/>
    </row>
    <row r="97" spans="1:3">
      <c r="A97" s="34" t="s">
        <v>226</v>
      </c>
      <c r="B97" s="6">
        <f>ROUND(B96-B85,2)</f>
        <v>15.22</v>
      </c>
      <c r="C97" s="53"/>
    </row>
    <row r="98" spans="1:3">
      <c r="A98" s="379" t="s">
        <v>227</v>
      </c>
      <c r="B98" s="379"/>
      <c r="C98" s="71">
        <f>+B97*C92</f>
        <v>0</v>
      </c>
    </row>
    <row r="100" spans="1:3">
      <c r="A100" s="419" t="s">
        <v>233</v>
      </c>
      <c r="B100" s="419"/>
      <c r="C100" s="419"/>
    </row>
    <row r="101" spans="1:3">
      <c r="A101" s="6" t="s">
        <v>204</v>
      </c>
      <c r="B101" s="6">
        <f>+$B$4</f>
        <v>365.25</v>
      </c>
      <c r="C101" s="52"/>
    </row>
    <row r="102" spans="1:3">
      <c r="A102" s="6" t="s">
        <v>206</v>
      </c>
      <c r="B102" s="34">
        <v>12</v>
      </c>
      <c r="C102" s="52"/>
    </row>
    <row r="103" spans="1:3">
      <c r="A103" s="6" t="s">
        <v>213</v>
      </c>
      <c r="B103" s="17">
        <v>0.5</v>
      </c>
      <c r="C103" s="52"/>
    </row>
    <row r="104" spans="1:3">
      <c r="A104" s="34" t="s">
        <v>234</v>
      </c>
      <c r="B104" s="6">
        <f>ROUND((B101/B102)*B103,2)</f>
        <v>15.22</v>
      </c>
      <c r="C104" s="52"/>
    </row>
    <row r="105" spans="1:3">
      <c r="A105" s="198" t="s">
        <v>235</v>
      </c>
      <c r="B105" s="199"/>
      <c r="C105" s="52"/>
    </row>
    <row r="106" spans="1:3">
      <c r="A106" s="34" t="s">
        <v>236</v>
      </c>
      <c r="B106" s="29">
        <v>0.06</v>
      </c>
      <c r="C106" s="52"/>
    </row>
    <row r="107" spans="1:3">
      <c r="A107" s="431" t="s">
        <v>237</v>
      </c>
      <c r="B107" s="432"/>
      <c r="C107" s="45">
        <f>ROUND((B104*(B105*2)-($B$6*B106)),2)</f>
        <v>0</v>
      </c>
    </row>
    <row r="109" spans="1:3">
      <c r="A109" s="419" t="s">
        <v>238</v>
      </c>
      <c r="B109" s="419"/>
      <c r="C109" s="419"/>
    </row>
    <row r="110" spans="1:3">
      <c r="A110" s="6" t="s">
        <v>204</v>
      </c>
      <c r="B110" s="6">
        <f>+$B$4</f>
        <v>365.25</v>
      </c>
      <c r="C110" s="52"/>
    </row>
    <row r="111" spans="1:3">
      <c r="A111" s="6" t="s">
        <v>206</v>
      </c>
      <c r="B111" s="34">
        <v>12</v>
      </c>
      <c r="C111" s="52"/>
    </row>
    <row r="112" spans="1:3">
      <c r="A112" s="6" t="s">
        <v>213</v>
      </c>
      <c r="B112" s="17">
        <v>0.5</v>
      </c>
      <c r="C112" s="52"/>
    </row>
    <row r="113" spans="1:3">
      <c r="A113" s="34" t="s">
        <v>234</v>
      </c>
      <c r="B113" s="6">
        <f>ROUND((B110/B111)*B112,2)</f>
        <v>15.22</v>
      </c>
      <c r="C113" s="52"/>
    </row>
    <row r="114" spans="1:3">
      <c r="A114" s="198" t="s">
        <v>239</v>
      </c>
      <c r="B114" s="199"/>
      <c r="C114" s="52"/>
    </row>
    <row r="115" spans="1:3">
      <c r="A115" s="34" t="s">
        <v>366</v>
      </c>
      <c r="B115" s="29">
        <v>0.2</v>
      </c>
      <c r="C115" s="52"/>
    </row>
    <row r="116" spans="1:3">
      <c r="A116" s="431" t="s">
        <v>239</v>
      </c>
      <c r="B116" s="432"/>
      <c r="C116" s="45">
        <f>ROUND((B113*(B114)-((B113*B114)*B115)),2)</f>
        <v>0</v>
      </c>
    </row>
    <row r="118" spans="1:3">
      <c r="A118" s="419" t="s">
        <v>240</v>
      </c>
      <c r="B118" s="419"/>
      <c r="C118" s="419"/>
    </row>
    <row r="119" spans="1:3">
      <c r="A119" s="6" t="s">
        <v>242</v>
      </c>
      <c r="B119" s="18">
        <f>+B7</f>
        <v>0</v>
      </c>
      <c r="C119" s="52"/>
    </row>
    <row r="120" spans="1:3">
      <c r="A120" s="6" t="s">
        <v>243</v>
      </c>
      <c r="B120" s="6">
        <v>12</v>
      </c>
      <c r="C120" s="52"/>
    </row>
    <row r="121" spans="1:3">
      <c r="A121" s="116" t="s">
        <v>244</v>
      </c>
      <c r="B121" s="114"/>
      <c r="C121" s="52"/>
    </row>
    <row r="122" spans="1:3">
      <c r="A122" s="379" t="s">
        <v>245</v>
      </c>
      <c r="B122" s="379"/>
      <c r="C122" s="45">
        <f>ROUND(+(B119/B120)*B121,2)</f>
        <v>0</v>
      </c>
    </row>
    <row r="124" spans="1:3">
      <c r="A124" s="426" t="s">
        <v>246</v>
      </c>
      <c r="B124" s="427"/>
      <c r="C124" s="428"/>
    </row>
    <row r="125" spans="1:3" s="60" customFormat="1">
      <c r="A125" s="117" t="s">
        <v>251</v>
      </c>
      <c r="B125" s="114">
        <f>+B121</f>
        <v>0</v>
      </c>
      <c r="C125" s="52"/>
    </row>
    <row r="126" spans="1:3">
      <c r="A126" s="6" t="s">
        <v>247</v>
      </c>
      <c r="B126" s="18">
        <f>+'Vigilante 12x36 Noturno Arm'!$D$23</f>
        <v>0</v>
      </c>
      <c r="C126" s="52"/>
    </row>
    <row r="127" spans="1:3">
      <c r="A127" s="6" t="s">
        <v>46</v>
      </c>
      <c r="B127" s="18">
        <f>+'Vigilante 12x36 Noturno Arm'!$D$29</f>
        <v>0</v>
      </c>
      <c r="C127" s="52"/>
    </row>
    <row r="128" spans="1:3">
      <c r="A128" s="111" t="s">
        <v>45</v>
      </c>
      <c r="B128" s="18">
        <f>+'Vigilante 12x36 Noturno Arm'!$D$31</f>
        <v>0</v>
      </c>
      <c r="C128" s="52"/>
    </row>
    <row r="129" spans="1:3">
      <c r="A129" s="111" t="s">
        <v>44</v>
      </c>
      <c r="B129" s="18">
        <f>+'Vigilante 12x36 Noturno Arm'!$D$32</f>
        <v>0</v>
      </c>
      <c r="C129" s="52"/>
    </row>
    <row r="130" spans="1:3">
      <c r="A130" s="104" t="s">
        <v>248</v>
      </c>
      <c r="B130" s="105">
        <f>SUM(B126:B129)</f>
        <v>0</v>
      </c>
      <c r="C130" s="52"/>
    </row>
    <row r="131" spans="1:3">
      <c r="A131" s="25" t="s">
        <v>249</v>
      </c>
      <c r="B131" s="17">
        <v>0.4</v>
      </c>
      <c r="C131" s="52"/>
    </row>
    <row r="132" spans="1:3">
      <c r="A132" s="25" t="s">
        <v>250</v>
      </c>
      <c r="B132" s="17">
        <f>+'Vigilante 12x36 Noturno Arm'!$C$44</f>
        <v>0.08</v>
      </c>
      <c r="C132" s="52"/>
    </row>
    <row r="133" spans="1:3">
      <c r="A133" s="430" t="s">
        <v>252</v>
      </c>
      <c r="B133" s="430"/>
      <c r="C133" s="73">
        <f>ROUND(+B130*B131*B132*B125,2)</f>
        <v>0</v>
      </c>
    </row>
    <row r="134" spans="1:3">
      <c r="A134" s="25" t="s">
        <v>253</v>
      </c>
      <c r="B134" s="17">
        <v>0.1</v>
      </c>
      <c r="C134" s="52"/>
    </row>
    <row r="135" spans="1:3">
      <c r="A135" s="430" t="s">
        <v>254</v>
      </c>
      <c r="B135" s="430"/>
      <c r="C135" s="112">
        <f>ROUND(B134*B132*B130*B125,2)</f>
        <v>0</v>
      </c>
    </row>
    <row r="136" spans="1:3">
      <c r="A136" s="431" t="s">
        <v>255</v>
      </c>
      <c r="B136" s="432"/>
      <c r="C136" s="71">
        <f>+C135+C133</f>
        <v>0</v>
      </c>
    </row>
    <row r="138" spans="1:3">
      <c r="A138" s="419" t="s">
        <v>256</v>
      </c>
      <c r="B138" s="419"/>
      <c r="C138" s="419"/>
    </row>
    <row r="139" spans="1:3">
      <c r="A139" s="6" t="s">
        <v>242</v>
      </c>
      <c r="B139" s="18">
        <f>+B7</f>
        <v>0</v>
      </c>
      <c r="C139" s="52"/>
    </row>
    <row r="140" spans="1:3">
      <c r="A140" s="6" t="s">
        <v>257</v>
      </c>
      <c r="B140" s="113">
        <v>30</v>
      </c>
      <c r="C140" s="52"/>
    </row>
    <row r="141" spans="1:3">
      <c r="A141" s="6" t="s">
        <v>243</v>
      </c>
      <c r="B141" s="6">
        <v>12</v>
      </c>
      <c r="C141" s="52"/>
    </row>
    <row r="142" spans="1:3">
      <c r="A142" s="6" t="s">
        <v>258</v>
      </c>
      <c r="B142" s="6">
        <v>7</v>
      </c>
      <c r="C142" s="52"/>
    </row>
    <row r="143" spans="1:3">
      <c r="A143" s="116" t="s">
        <v>294</v>
      </c>
      <c r="B143" s="114"/>
      <c r="C143" s="52"/>
    </row>
    <row r="144" spans="1:3">
      <c r="A144" s="379" t="s">
        <v>369</v>
      </c>
      <c r="B144" s="379"/>
      <c r="C144" s="45">
        <f>+ROUND(((B139/B140/B141)*B142)*B143,2)</f>
        <v>0</v>
      </c>
    </row>
    <row r="146" spans="1:3">
      <c r="A146" s="426" t="s">
        <v>259</v>
      </c>
      <c r="B146" s="427"/>
      <c r="C146" s="428"/>
    </row>
    <row r="147" spans="1:3">
      <c r="A147" s="115" t="s">
        <v>260</v>
      </c>
      <c r="B147" s="114">
        <f>+B143</f>
        <v>0</v>
      </c>
      <c r="C147" s="52"/>
    </row>
    <row r="148" spans="1:3">
      <c r="A148" s="6" t="s">
        <v>247</v>
      </c>
      <c r="B148" s="18">
        <f>+'Vigilante 12x36 Noturno Arm'!$D$23</f>
        <v>0</v>
      </c>
      <c r="C148" s="52"/>
    </row>
    <row r="149" spans="1:3">
      <c r="A149" s="6" t="s">
        <v>46</v>
      </c>
      <c r="B149" s="18">
        <f>+'Vigilante 12x36 Noturno Arm'!$D$29</f>
        <v>0</v>
      </c>
      <c r="C149" s="52"/>
    </row>
    <row r="150" spans="1:3">
      <c r="A150" s="111" t="s">
        <v>45</v>
      </c>
      <c r="B150" s="18">
        <f>+'Vigilante 12x36 Noturno Arm'!$D$31</f>
        <v>0</v>
      </c>
      <c r="C150" s="52"/>
    </row>
    <row r="151" spans="1:3">
      <c r="A151" s="111" t="s">
        <v>44</v>
      </c>
      <c r="B151" s="18">
        <f>+'Vigilante 12x36 Noturno Arm'!$D$32</f>
        <v>0</v>
      </c>
      <c r="C151" s="52"/>
    </row>
    <row r="152" spans="1:3">
      <c r="A152" s="104" t="s">
        <v>248</v>
      </c>
      <c r="B152" s="105">
        <f>SUM(B148:B151)</f>
        <v>0</v>
      </c>
      <c r="C152" s="52"/>
    </row>
    <row r="153" spans="1:3">
      <c r="A153" s="25" t="s">
        <v>249</v>
      </c>
      <c r="B153" s="17">
        <v>0.4</v>
      </c>
      <c r="C153" s="52"/>
    </row>
    <row r="154" spans="1:3">
      <c r="A154" s="25" t="s">
        <v>250</v>
      </c>
      <c r="B154" s="17">
        <f>+'Vigilante 12x36 Noturno Arm'!$C$44</f>
        <v>0.08</v>
      </c>
      <c r="C154" s="52"/>
    </row>
    <row r="155" spans="1:3">
      <c r="A155" s="430" t="s">
        <v>252</v>
      </c>
      <c r="B155" s="430"/>
      <c r="C155" s="73">
        <f>ROUND(+B152*B153*B154*B147,2)</f>
        <v>0</v>
      </c>
    </row>
    <row r="156" spans="1:3">
      <c r="A156" s="25" t="s">
        <v>253</v>
      </c>
      <c r="B156" s="17">
        <v>0.1</v>
      </c>
      <c r="C156" s="52"/>
    </row>
    <row r="157" spans="1:3">
      <c r="A157" s="430" t="s">
        <v>254</v>
      </c>
      <c r="B157" s="430"/>
      <c r="C157" s="112">
        <f>ROUND(B156*B154*B152*B147,2)</f>
        <v>0</v>
      </c>
    </row>
    <row r="158" spans="1:3">
      <c r="A158" s="431" t="s">
        <v>387</v>
      </c>
      <c r="B158" s="432"/>
      <c r="C158" s="71">
        <f>+C157+C155</f>
        <v>0</v>
      </c>
    </row>
    <row r="160" spans="1:3">
      <c r="A160" s="426" t="s">
        <v>262</v>
      </c>
      <c r="B160" s="427"/>
      <c r="C160" s="428"/>
    </row>
    <row r="161" spans="1:3">
      <c r="A161" s="429" t="s">
        <v>359</v>
      </c>
      <c r="B161" s="429"/>
      <c r="C161" s="429"/>
    </row>
    <row r="162" spans="1:3">
      <c r="A162" s="429"/>
      <c r="B162" s="429"/>
      <c r="C162" s="429"/>
    </row>
    <row r="163" spans="1:3">
      <c r="A163" s="429"/>
      <c r="B163" s="429"/>
      <c r="C163" s="429"/>
    </row>
    <row r="164" spans="1:3">
      <c r="A164" s="429"/>
      <c r="B164" s="429"/>
      <c r="C164" s="429"/>
    </row>
    <row r="165" spans="1:3">
      <c r="A165" s="119"/>
      <c r="B165" s="119"/>
      <c r="C165" s="119"/>
    </row>
    <row r="166" spans="1:3">
      <c r="A166" s="422" t="s">
        <v>261</v>
      </c>
      <c r="B166" s="422"/>
      <c r="C166" s="422"/>
    </row>
    <row r="167" spans="1:3">
      <c r="A167" s="6" t="s">
        <v>263</v>
      </c>
      <c r="B167" s="18">
        <f>+$B$7</f>
        <v>0</v>
      </c>
      <c r="C167" s="52"/>
    </row>
    <row r="168" spans="1:3">
      <c r="A168" s="6" t="s">
        <v>206</v>
      </c>
      <c r="B168" s="6">
        <v>30</v>
      </c>
      <c r="C168" s="52"/>
    </row>
    <row r="169" spans="1:3">
      <c r="A169" s="6" t="s">
        <v>264</v>
      </c>
      <c r="B169" s="6">
        <v>12</v>
      </c>
      <c r="C169" s="52"/>
    </row>
    <row r="170" spans="1:3">
      <c r="A170" s="116" t="s">
        <v>265</v>
      </c>
      <c r="B170" s="116"/>
      <c r="C170" s="52"/>
    </row>
    <row r="171" spans="1:3">
      <c r="A171" s="379" t="s">
        <v>266</v>
      </c>
      <c r="B171" s="379"/>
      <c r="C171" s="24">
        <f>+ROUND((B167/B168/B169)*B170,2)</f>
        <v>0</v>
      </c>
    </row>
    <row r="173" spans="1:3">
      <c r="A173" s="422" t="s">
        <v>269</v>
      </c>
      <c r="B173" s="422"/>
      <c r="C173" s="422"/>
    </row>
    <row r="174" spans="1:3">
      <c r="A174" s="6" t="s">
        <v>263</v>
      </c>
      <c r="B174" s="18">
        <f>+$B$7</f>
        <v>0</v>
      </c>
      <c r="C174" s="52"/>
    </row>
    <row r="175" spans="1:3">
      <c r="A175" s="6" t="s">
        <v>206</v>
      </c>
      <c r="B175" s="6">
        <v>30</v>
      </c>
      <c r="C175" s="52"/>
    </row>
    <row r="176" spans="1:3">
      <c r="A176" s="6" t="s">
        <v>264</v>
      </c>
      <c r="B176" s="6">
        <v>12</v>
      </c>
      <c r="C176" s="52"/>
    </row>
    <row r="177" spans="1:3">
      <c r="A177" s="34" t="s">
        <v>267</v>
      </c>
      <c r="B177" s="6">
        <v>5</v>
      </c>
      <c r="C177" s="52"/>
    </row>
    <row r="178" spans="1:3">
      <c r="A178" s="116" t="s">
        <v>268</v>
      </c>
      <c r="B178" s="114"/>
      <c r="C178" s="52"/>
    </row>
    <row r="179" spans="1:3">
      <c r="A179" s="116" t="s">
        <v>270</v>
      </c>
      <c r="B179" s="114"/>
      <c r="C179" s="52"/>
    </row>
    <row r="180" spans="1:3">
      <c r="A180" s="379" t="s">
        <v>271</v>
      </c>
      <c r="B180" s="379"/>
      <c r="C180" s="45">
        <f>ROUND(+B174/B175/B176*B177*B178*B179,2)</f>
        <v>0</v>
      </c>
    </row>
    <row r="182" spans="1:3">
      <c r="A182" s="422" t="s">
        <v>272</v>
      </c>
      <c r="B182" s="422"/>
      <c r="C182" s="422"/>
    </row>
    <row r="183" spans="1:3">
      <c r="A183" s="6" t="s">
        <v>263</v>
      </c>
      <c r="B183" s="18">
        <f>+$B$7</f>
        <v>0</v>
      </c>
      <c r="C183" s="52"/>
    </row>
    <row r="184" spans="1:3">
      <c r="A184" s="6" t="s">
        <v>206</v>
      </c>
      <c r="B184" s="6">
        <v>30</v>
      </c>
      <c r="C184" s="52"/>
    </row>
    <row r="185" spans="1:3">
      <c r="A185" s="6" t="s">
        <v>264</v>
      </c>
      <c r="B185" s="6">
        <v>12</v>
      </c>
      <c r="C185" s="52"/>
    </row>
    <row r="186" spans="1:3">
      <c r="A186" s="34" t="s">
        <v>273</v>
      </c>
      <c r="B186" s="6">
        <v>15</v>
      </c>
      <c r="C186" s="52"/>
    </row>
    <row r="187" spans="1:3">
      <c r="A187" s="116" t="s">
        <v>274</v>
      </c>
      <c r="B187" s="114"/>
      <c r="C187" s="52"/>
    </row>
    <row r="188" spans="1:3">
      <c r="A188" s="379" t="s">
        <v>370</v>
      </c>
      <c r="B188" s="379"/>
      <c r="C188" s="45">
        <f>ROUND(+B183/B184/B185*B186*B187,2)</f>
        <v>0</v>
      </c>
    </row>
    <row r="190" spans="1:3">
      <c r="A190" s="422" t="s">
        <v>275</v>
      </c>
      <c r="B190" s="422"/>
      <c r="C190" s="422"/>
    </row>
    <row r="191" spans="1:3">
      <c r="A191" s="6" t="s">
        <v>263</v>
      </c>
      <c r="B191" s="18">
        <f>+$B$7</f>
        <v>0</v>
      </c>
      <c r="C191" s="52"/>
    </row>
    <row r="192" spans="1:3">
      <c r="A192" s="6" t="s">
        <v>206</v>
      </c>
      <c r="B192" s="6">
        <v>30</v>
      </c>
      <c r="C192" s="52"/>
    </row>
    <row r="193" spans="1:3">
      <c r="A193" s="6" t="s">
        <v>264</v>
      </c>
      <c r="B193" s="6">
        <v>12</v>
      </c>
      <c r="C193" s="52"/>
    </row>
    <row r="194" spans="1:3">
      <c r="A194" s="34" t="s">
        <v>273</v>
      </c>
      <c r="B194" s="6">
        <v>5</v>
      </c>
      <c r="C194" s="52"/>
    </row>
    <row r="195" spans="1:3">
      <c r="A195" s="116" t="s">
        <v>276</v>
      </c>
      <c r="B195" s="114"/>
      <c r="C195" s="52"/>
    </row>
    <row r="196" spans="1:3">
      <c r="A196" s="379" t="s">
        <v>371</v>
      </c>
      <c r="B196" s="379"/>
      <c r="C196" s="45">
        <f>ROUND(+B191/B192/B193*B194*B195,2)</f>
        <v>0</v>
      </c>
    </row>
    <row r="198" spans="1:3">
      <c r="A198" s="419" t="s">
        <v>108</v>
      </c>
      <c r="B198" s="419"/>
      <c r="C198" s="419"/>
    </row>
    <row r="199" spans="1:3">
      <c r="A199" s="83" t="s">
        <v>23</v>
      </c>
      <c r="B199" s="87"/>
      <c r="C199" s="18">
        <f>+'Vigilante 12x36 Noturno Arm'!D23-'Vigilante 12x36 Noturno Arm'!D21</f>
        <v>0</v>
      </c>
    </row>
    <row r="200" spans="1:3">
      <c r="A200" s="83" t="s">
        <v>68</v>
      </c>
      <c r="B200" s="87"/>
      <c r="C200" s="18">
        <f>+'Vigilante 12x36 Noturno Arm'!D68</f>
        <v>0</v>
      </c>
    </row>
    <row r="201" spans="1:3">
      <c r="A201" s="83" t="s">
        <v>153</v>
      </c>
      <c r="B201" s="87"/>
      <c r="C201" s="18">
        <f>+'Vigilante 12x36 Noturno Arm'!D116</f>
        <v>0</v>
      </c>
    </row>
    <row r="202" spans="1:3">
      <c r="A202" s="83" t="s">
        <v>86</v>
      </c>
      <c r="B202" s="87"/>
      <c r="C202" s="18">
        <f>+'Vigilante 12x36 Noturno Arm'!D107</f>
        <v>0</v>
      </c>
    </row>
    <row r="203" spans="1:3">
      <c r="A203" s="83" t="s">
        <v>92</v>
      </c>
      <c r="B203" s="87"/>
      <c r="C203" s="18">
        <f>+'Vigilante 12x36 Noturno Arm'!D108</f>
        <v>0</v>
      </c>
    </row>
    <row r="204" spans="1:3">
      <c r="A204" s="83" t="s">
        <v>70</v>
      </c>
      <c r="B204" s="87"/>
      <c r="C204" s="18">
        <f>+'Vigilante 12x36 Noturno Arm'!D79</f>
        <v>0</v>
      </c>
    </row>
    <row r="205" spans="1:3">
      <c r="A205" s="83" t="s">
        <v>193</v>
      </c>
      <c r="B205" s="87"/>
      <c r="C205" s="18">
        <f>SUM(C199:C204)</f>
        <v>0</v>
      </c>
    </row>
    <row r="206" spans="1:3">
      <c r="A206" s="83" t="s">
        <v>102</v>
      </c>
      <c r="B206" s="84">
        <v>220</v>
      </c>
      <c r="C206" s="85"/>
    </row>
    <row r="207" spans="1:3">
      <c r="A207" s="83" t="s">
        <v>103</v>
      </c>
      <c r="B207" s="87"/>
      <c r="C207" s="18">
        <f>ROUND(C205/B206,2)</f>
        <v>0</v>
      </c>
    </row>
    <row r="208" spans="1:3">
      <c r="A208" s="6" t="s">
        <v>104</v>
      </c>
      <c r="B208" s="51">
        <f>(365.25/12/2)/(7/7)</f>
        <v>15.21875</v>
      </c>
      <c r="C208" s="58"/>
    </row>
    <row r="209" spans="1:3">
      <c r="A209" s="431" t="s">
        <v>106</v>
      </c>
      <c r="B209" s="432"/>
      <c r="C209" s="71">
        <f>ROUND(+B208*C207,2)</f>
        <v>0</v>
      </c>
    </row>
    <row r="211" spans="1:3">
      <c r="A211" s="422" t="s">
        <v>277</v>
      </c>
      <c r="B211" s="422"/>
      <c r="C211" s="422"/>
    </row>
    <row r="212" spans="1:3">
      <c r="A212" s="423" t="s">
        <v>282</v>
      </c>
      <c r="B212" s="424"/>
      <c r="C212" s="425"/>
    </row>
    <row r="213" spans="1:3">
      <c r="A213" s="6" t="s">
        <v>263</v>
      </c>
      <c r="B213" s="18">
        <f>+$B$7</f>
        <v>0</v>
      </c>
      <c r="C213" s="52"/>
    </row>
    <row r="214" spans="1:3">
      <c r="A214" s="6" t="s">
        <v>281</v>
      </c>
      <c r="B214" s="18">
        <f>+B213*(1/3)</f>
        <v>0</v>
      </c>
      <c r="C214" s="52"/>
    </row>
    <row r="215" spans="1:3">
      <c r="A215" s="104" t="s">
        <v>248</v>
      </c>
      <c r="B215" s="105">
        <f>SUM(B213:B214)</f>
        <v>0</v>
      </c>
      <c r="C215" s="52"/>
    </row>
    <row r="216" spans="1:3">
      <c r="A216" s="6" t="s">
        <v>278</v>
      </c>
      <c r="B216" s="6">
        <v>4</v>
      </c>
      <c r="C216" s="52"/>
    </row>
    <row r="217" spans="1:3">
      <c r="A217" s="6" t="s">
        <v>264</v>
      </c>
      <c r="B217" s="6">
        <v>12</v>
      </c>
      <c r="C217" s="52"/>
    </row>
    <row r="218" spans="1:3">
      <c r="A218" s="116" t="s">
        <v>279</v>
      </c>
      <c r="B218" s="114"/>
      <c r="C218" s="52"/>
    </row>
    <row r="219" spans="1:3">
      <c r="A219" s="116" t="s">
        <v>280</v>
      </c>
      <c r="B219" s="114"/>
      <c r="C219" s="52"/>
    </row>
    <row r="220" spans="1:3">
      <c r="A220" s="379" t="s">
        <v>283</v>
      </c>
      <c r="B220" s="379"/>
      <c r="C220" s="45">
        <f>ROUND((((+B215*(B216/B217)/B217)*B218)*B219),2)</f>
        <v>0</v>
      </c>
    </row>
    <row r="221" spans="1:3" ht="18" customHeight="1">
      <c r="A221" s="379" t="s">
        <v>284</v>
      </c>
      <c r="B221" s="379"/>
      <c r="C221" s="379"/>
    </row>
    <row r="222" spans="1:3">
      <c r="A222" s="6" t="s">
        <v>263</v>
      </c>
      <c r="B222" s="18">
        <f>+'Vigilante 12x36 Noturno Arm'!D23</f>
        <v>0</v>
      </c>
      <c r="C222" s="52"/>
    </row>
    <row r="223" spans="1:3">
      <c r="A223" s="6" t="s">
        <v>46</v>
      </c>
      <c r="B223" s="18">
        <f>+'Vigilante 12x36 Noturno Arm'!D29</f>
        <v>0</v>
      </c>
      <c r="C223" s="52"/>
    </row>
    <row r="224" spans="1:3">
      <c r="A224" s="104" t="s">
        <v>248</v>
      </c>
      <c r="B224" s="105">
        <f>SUM(B222:B223)</f>
        <v>0</v>
      </c>
      <c r="C224" s="52"/>
    </row>
    <row r="225" spans="1:3">
      <c r="A225" s="6" t="s">
        <v>278</v>
      </c>
      <c r="B225" s="6">
        <v>4</v>
      </c>
      <c r="C225" s="52"/>
    </row>
    <row r="226" spans="1:3">
      <c r="A226" s="6" t="s">
        <v>264</v>
      </c>
      <c r="B226" s="6">
        <v>12</v>
      </c>
      <c r="C226" s="52"/>
    </row>
    <row r="227" spans="1:3">
      <c r="A227" s="116" t="s">
        <v>279</v>
      </c>
      <c r="B227" s="114"/>
      <c r="C227" s="52"/>
    </row>
    <row r="228" spans="1:3">
      <c r="A228" s="116" t="s">
        <v>280</v>
      </c>
      <c r="B228" s="114"/>
      <c r="C228" s="52"/>
    </row>
    <row r="229" spans="1:3">
      <c r="A229" s="34" t="s">
        <v>285</v>
      </c>
      <c r="B229" s="17">
        <f>+'Vigilante 12x36 Noturno Arm'!C45</f>
        <v>0.36800000000000005</v>
      </c>
      <c r="C229" s="52"/>
    </row>
    <row r="230" spans="1:3">
      <c r="A230" s="379" t="s">
        <v>286</v>
      </c>
      <c r="B230" s="379"/>
      <c r="C230" s="71">
        <f>ROUND((((B224*(B225/B226)*B227)*B228)*B229),2)</f>
        <v>0</v>
      </c>
    </row>
  </sheetData>
  <mergeCells count="44"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221:C221"/>
    <mergeCell ref="A230:B230"/>
    <mergeCell ref="A196:B196"/>
    <mergeCell ref="A198:C198"/>
    <mergeCell ref="A209:B209"/>
    <mergeCell ref="A211:C211"/>
    <mergeCell ref="A212:C212"/>
    <mergeCell ref="A220:B220"/>
  </mergeCells>
  <pageMargins left="1.0236220472440944" right="0.11811023622047245" top="0.19685039370078741" bottom="0.35433070866141736" header="7.874015748031496E-2" footer="0.31496062992125984"/>
  <pageSetup paperSize="9" scale="90" orientation="portrait" r:id="rId1"/>
  <headerFooter>
    <oddFooter>&amp;A</oddFooter>
  </headerFooter>
  <rowBreaks count="2" manualBreakCount="2">
    <brk id="123" max="16383" man="1"/>
    <brk id="1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F183"/>
  <sheetViews>
    <sheetView workbookViewId="0">
      <selection activeCell="A17" sqref="A17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3" spans="1:6">
      <c r="A3" s="373" t="s">
        <v>16</v>
      </c>
      <c r="B3" s="374"/>
      <c r="C3" s="374"/>
      <c r="D3" s="390"/>
    </row>
    <row r="4" spans="1:6" s="1" customFormat="1" ht="28.5" customHeight="1">
      <c r="A4" s="166">
        <v>1</v>
      </c>
      <c r="B4" s="165" t="s">
        <v>17</v>
      </c>
      <c r="C4" s="447" t="s">
        <v>355</v>
      </c>
      <c r="D4" s="448"/>
    </row>
    <row r="5" spans="1:6" s="1" customFormat="1">
      <c r="A5" s="166">
        <v>2</v>
      </c>
      <c r="B5" s="165" t="s">
        <v>18</v>
      </c>
      <c r="C5" s="449" t="s">
        <v>295</v>
      </c>
      <c r="D5" s="450"/>
    </row>
    <row r="6" spans="1:6" s="1" customFormat="1">
      <c r="A6" s="166">
        <v>3</v>
      </c>
      <c r="B6" s="165" t="s">
        <v>19</v>
      </c>
      <c r="C6" s="401"/>
      <c r="D6" s="401"/>
    </row>
    <row r="7" spans="1:6" s="1" customFormat="1" ht="46.5" customHeight="1">
      <c r="A7" s="166">
        <v>4</v>
      </c>
      <c r="B7" s="165" t="s">
        <v>21</v>
      </c>
      <c r="C7" s="451" t="s">
        <v>296</v>
      </c>
      <c r="D7" s="452"/>
    </row>
    <row r="8" spans="1:6" s="1" customFormat="1">
      <c r="A8" s="166">
        <v>5</v>
      </c>
      <c r="B8" s="165" t="s">
        <v>20</v>
      </c>
      <c r="C8" s="453">
        <v>42795</v>
      </c>
      <c r="D8" s="450"/>
    </row>
    <row r="9" spans="1:6">
      <c r="D9" s="196"/>
    </row>
    <row r="10" spans="1:6">
      <c r="A10" s="409" t="s">
        <v>22</v>
      </c>
      <c r="B10" s="409"/>
      <c r="C10" s="409"/>
      <c r="D10" s="409"/>
    </row>
    <row r="11" spans="1:6">
      <c r="A11" s="4">
        <v>1</v>
      </c>
      <c r="B11" s="94" t="s">
        <v>23</v>
      </c>
      <c r="C11" s="151" t="s">
        <v>50</v>
      </c>
      <c r="D11" s="5" t="s">
        <v>24</v>
      </c>
    </row>
    <row r="12" spans="1:6">
      <c r="A12" s="152" t="s">
        <v>3</v>
      </c>
      <c r="B12" s="323" t="s">
        <v>30</v>
      </c>
      <c r="C12" s="323"/>
      <c r="D12" s="7">
        <f>+C6</f>
        <v>0</v>
      </c>
    </row>
    <row r="13" spans="1:6">
      <c r="A13" s="152" t="s">
        <v>4</v>
      </c>
      <c r="B13" s="89" t="s">
        <v>31</v>
      </c>
      <c r="C13" s="95">
        <v>0.3</v>
      </c>
      <c r="D13" s="7">
        <f>+C13*D12</f>
        <v>0</v>
      </c>
      <c r="E13" s="88"/>
    </row>
    <row r="14" spans="1:6">
      <c r="A14" s="152" t="s">
        <v>5</v>
      </c>
      <c r="B14" s="89" t="s">
        <v>32</v>
      </c>
      <c r="C14" s="95"/>
      <c r="D14" s="7"/>
    </row>
    <row r="15" spans="1:6">
      <c r="A15" s="152" t="s">
        <v>6</v>
      </c>
      <c r="B15" s="323" t="s">
        <v>33</v>
      </c>
      <c r="C15" s="323"/>
      <c r="D15" s="7"/>
    </row>
    <row r="16" spans="1:6">
      <c r="A16" s="152" t="s">
        <v>25</v>
      </c>
      <c r="B16" s="323" t="s">
        <v>34</v>
      </c>
      <c r="C16" s="323"/>
      <c r="D16" s="7"/>
    </row>
    <row r="17" spans="1:6">
      <c r="A17" s="152" t="s">
        <v>26</v>
      </c>
      <c r="B17" s="412" t="s">
        <v>231</v>
      </c>
      <c r="C17" s="413"/>
      <c r="D17" s="7"/>
    </row>
    <row r="18" spans="1:6">
      <c r="A18" s="152" t="s">
        <v>27</v>
      </c>
      <c r="B18" s="323" t="s">
        <v>35</v>
      </c>
      <c r="C18" s="323"/>
      <c r="D18" s="7"/>
    </row>
    <row r="19" spans="1:6">
      <c r="A19" s="152" t="s">
        <v>28</v>
      </c>
      <c r="B19" s="412" t="s">
        <v>195</v>
      </c>
      <c r="C19" s="413"/>
      <c r="D19" s="93"/>
    </row>
    <row r="20" spans="1:6">
      <c r="A20" s="152" t="s">
        <v>64</v>
      </c>
      <c r="B20" s="89" t="s">
        <v>65</v>
      </c>
      <c r="C20" s="95"/>
      <c r="D20" s="7"/>
    </row>
    <row r="21" spans="1:6">
      <c r="A21" s="152" t="s">
        <v>194</v>
      </c>
      <c r="B21" s="323" t="s">
        <v>95</v>
      </c>
      <c r="C21" s="323"/>
      <c r="D21" s="8"/>
      <c r="F21" s="98"/>
    </row>
    <row r="22" spans="1:6">
      <c r="A22" s="152" t="s">
        <v>196</v>
      </c>
      <c r="B22" s="323" t="s">
        <v>36</v>
      </c>
      <c r="C22" s="323"/>
      <c r="D22" s="8"/>
    </row>
    <row r="23" spans="1:6">
      <c r="A23" s="380" t="s">
        <v>29</v>
      </c>
      <c r="B23" s="380"/>
      <c r="C23" s="380"/>
      <c r="D23" s="9">
        <f>SUM(D12:D22)</f>
        <v>0</v>
      </c>
    </row>
    <row r="25" spans="1:6">
      <c r="A25" s="409" t="s">
        <v>37</v>
      </c>
      <c r="B25" s="409"/>
      <c r="C25" s="409"/>
      <c r="D25" s="409"/>
    </row>
    <row r="27" spans="1:6">
      <c r="A27" s="409" t="s">
        <v>38</v>
      </c>
      <c r="B27" s="409"/>
      <c r="C27" s="409"/>
      <c r="D27" s="409"/>
    </row>
    <row r="28" spans="1:6">
      <c r="A28" s="19" t="s">
        <v>39</v>
      </c>
      <c r="B28" s="14" t="s">
        <v>40</v>
      </c>
      <c r="C28" s="22" t="s">
        <v>50</v>
      </c>
      <c r="D28" s="20" t="s">
        <v>24</v>
      </c>
    </row>
    <row r="29" spans="1:6">
      <c r="A29" s="152" t="s">
        <v>3</v>
      </c>
      <c r="B29" s="6" t="s">
        <v>46</v>
      </c>
      <c r="C29" s="29" t="e">
        <f>ROUND(+D29/$D$23,4)</f>
        <v>#DIV/0!</v>
      </c>
      <c r="D29" s="8">
        <f>ROUND(+D23/12,2)</f>
        <v>0</v>
      </c>
    </row>
    <row r="30" spans="1:6">
      <c r="A30" s="28" t="s">
        <v>4</v>
      </c>
      <c r="B30" s="37" t="s">
        <v>43</v>
      </c>
      <c r="C30" s="38" t="e">
        <f>ROUND(+D30/$D$23,4)</f>
        <v>#DIV/0!</v>
      </c>
      <c r="D30" s="39">
        <f>+D31+D32</f>
        <v>0</v>
      </c>
    </row>
    <row r="31" spans="1:6">
      <c r="A31" s="152" t="s">
        <v>41</v>
      </c>
      <c r="B31" s="35" t="s">
        <v>45</v>
      </c>
      <c r="C31" s="40" t="e">
        <f>ROUND(+D31/$D$23,4)</f>
        <v>#DIV/0!</v>
      </c>
      <c r="D31" s="36">
        <f>ROUND(+D23/12,2)</f>
        <v>0</v>
      </c>
    </row>
    <row r="32" spans="1:6">
      <c r="A32" s="152" t="s">
        <v>42</v>
      </c>
      <c r="B32" s="35" t="s">
        <v>44</v>
      </c>
      <c r="C32" s="40" t="e">
        <f>ROUND(+D32/$D$23,4)</f>
        <v>#DIV/0!</v>
      </c>
      <c r="D32" s="36">
        <f>ROUND(+(D23*1/3)/12,2)</f>
        <v>0</v>
      </c>
    </row>
    <row r="33" spans="1:4">
      <c r="A33" s="380" t="s">
        <v>29</v>
      </c>
      <c r="B33" s="380"/>
      <c r="C33" s="380"/>
      <c r="D33" s="9">
        <f>+D30+D29</f>
        <v>0</v>
      </c>
    </row>
    <row r="35" spans="1:4">
      <c r="A35" s="404" t="s">
        <v>47</v>
      </c>
      <c r="B35" s="404"/>
      <c r="C35" s="404"/>
      <c r="D35" s="404"/>
    </row>
    <row r="36" spans="1:4">
      <c r="A36" s="19" t="s">
        <v>48</v>
      </c>
      <c r="B36" s="21" t="s">
        <v>49</v>
      </c>
      <c r="C36" s="22" t="s">
        <v>50</v>
      </c>
      <c r="D36" s="20" t="s">
        <v>24</v>
      </c>
    </row>
    <row r="37" spans="1:4">
      <c r="A37" s="152" t="s">
        <v>3</v>
      </c>
      <c r="B37" s="6" t="s">
        <v>51</v>
      </c>
      <c r="C37" s="17">
        <v>0.2</v>
      </c>
      <c r="D37" s="18">
        <f>ROUND(C37*($D$23+$D$33),2)</f>
        <v>0</v>
      </c>
    </row>
    <row r="38" spans="1:4">
      <c r="A38" s="152" t="s">
        <v>4</v>
      </c>
      <c r="B38" s="6" t="s">
        <v>52</v>
      </c>
      <c r="C38" s="17">
        <v>2.5000000000000001E-2</v>
      </c>
      <c r="D38" s="18">
        <f t="shared" ref="D38:D43" si="0">ROUND(C38*($D$23+$D$33),2)</f>
        <v>0</v>
      </c>
    </row>
    <row r="39" spans="1:4">
      <c r="A39" s="152" t="s">
        <v>5</v>
      </c>
      <c r="B39" s="6" t="s">
        <v>58</v>
      </c>
      <c r="C39" s="17">
        <f>3%</f>
        <v>0.03</v>
      </c>
      <c r="D39" s="18">
        <f t="shared" si="0"/>
        <v>0</v>
      </c>
    </row>
    <row r="40" spans="1:4">
      <c r="A40" s="152" t="s">
        <v>6</v>
      </c>
      <c r="B40" s="6" t="s">
        <v>53</v>
      </c>
      <c r="C40" s="17">
        <v>1.4999999999999999E-2</v>
      </c>
      <c r="D40" s="18">
        <f t="shared" si="0"/>
        <v>0</v>
      </c>
    </row>
    <row r="41" spans="1:4">
      <c r="A41" s="152" t="s">
        <v>25</v>
      </c>
      <c r="B41" s="6" t="s">
        <v>54</v>
      </c>
      <c r="C41" s="17">
        <v>0.01</v>
      </c>
      <c r="D41" s="18">
        <f t="shared" si="0"/>
        <v>0</v>
      </c>
    </row>
    <row r="42" spans="1:4">
      <c r="A42" s="152" t="s">
        <v>26</v>
      </c>
      <c r="B42" s="6" t="s">
        <v>55</v>
      </c>
      <c r="C42" s="17">
        <v>6.0000000000000001E-3</v>
      </c>
      <c r="D42" s="18">
        <f t="shared" si="0"/>
        <v>0</v>
      </c>
    </row>
    <row r="43" spans="1:4">
      <c r="A43" s="152" t="s">
        <v>27</v>
      </c>
      <c r="B43" s="6" t="s">
        <v>56</v>
      </c>
      <c r="C43" s="17">
        <v>2E-3</v>
      </c>
      <c r="D43" s="18">
        <f t="shared" si="0"/>
        <v>0</v>
      </c>
    </row>
    <row r="44" spans="1:4">
      <c r="A44" s="152" t="s">
        <v>28</v>
      </c>
      <c r="B44" s="6" t="s">
        <v>57</v>
      </c>
      <c r="C44" s="17">
        <v>0.08</v>
      </c>
      <c r="D44" s="18">
        <f>ROUND(C44*($D$23+$D$33),2)</f>
        <v>0</v>
      </c>
    </row>
    <row r="45" spans="1:4">
      <c r="A45" s="153" t="s">
        <v>29</v>
      </c>
      <c r="B45" s="154"/>
      <c r="C45" s="41">
        <f>SUM(C37:C44)</f>
        <v>0.36800000000000005</v>
      </c>
      <c r="D45" s="42">
        <f>SUM(D37:D44)</f>
        <v>0</v>
      </c>
    </row>
    <row r="46" spans="1:4">
      <c r="A46" s="43"/>
      <c r="B46" s="43"/>
      <c r="C46" s="43"/>
      <c r="D46" s="43"/>
    </row>
    <row r="47" spans="1:4" ht="12.75" customHeight="1">
      <c r="A47" s="404" t="s">
        <v>59</v>
      </c>
      <c r="B47" s="404"/>
      <c r="C47" s="404"/>
      <c r="D47" s="404"/>
    </row>
    <row r="48" spans="1:4">
      <c r="A48" s="19" t="s">
        <v>60</v>
      </c>
      <c r="B48" s="21" t="s">
        <v>61</v>
      </c>
      <c r="C48" s="22"/>
      <c r="D48" s="20" t="s">
        <v>24</v>
      </c>
    </row>
    <row r="49" spans="1:6">
      <c r="A49" s="107" t="s">
        <v>3</v>
      </c>
      <c r="B49" s="6" t="s">
        <v>62</v>
      </c>
      <c r="C49" s="54"/>
      <c r="D49" s="18">
        <f>+'Calculo 12 36 Diu Des'!C107</f>
        <v>0</v>
      </c>
    </row>
    <row r="50" spans="1:6" s="60" customFormat="1">
      <c r="A50" s="75" t="s">
        <v>177</v>
      </c>
      <c r="B50" s="34" t="s">
        <v>178</v>
      </c>
      <c r="C50" s="29">
        <f>+$C$135+$C$136</f>
        <v>3.6499999999999998E-2</v>
      </c>
      <c r="D50" s="77">
        <f>+(C50*D49)*-1</f>
        <v>0</v>
      </c>
      <c r="F50" s="76"/>
    </row>
    <row r="51" spans="1:6">
      <c r="A51" s="107" t="s">
        <v>4</v>
      </c>
      <c r="B51" s="6" t="s">
        <v>63</v>
      </c>
      <c r="C51" s="54"/>
      <c r="D51" s="18">
        <f>+'Calculo 12 36 Diu Des'!C116</f>
        <v>0</v>
      </c>
      <c r="F51" s="61"/>
    </row>
    <row r="52" spans="1:6" s="60" customFormat="1">
      <c r="A52" s="75" t="s">
        <v>41</v>
      </c>
      <c r="B52" s="34" t="s">
        <v>178</v>
      </c>
      <c r="C52" s="29">
        <f>+$C$135+$C$136</f>
        <v>3.6499999999999998E-2</v>
      </c>
      <c r="D52" s="77">
        <f>+(C52*D51)*-1</f>
        <v>0</v>
      </c>
      <c r="F52" s="78"/>
    </row>
    <row r="53" spans="1:6">
      <c r="A53" s="6" t="s">
        <v>5</v>
      </c>
      <c r="B53" s="6" t="s">
        <v>66</v>
      </c>
      <c r="C53" s="54"/>
      <c r="D53" s="18"/>
      <c r="F53" s="61"/>
    </row>
    <row r="54" spans="1:6">
      <c r="A54" s="75" t="s">
        <v>161</v>
      </c>
      <c r="B54" s="34" t="s">
        <v>178</v>
      </c>
      <c r="C54" s="29">
        <f>+$C$135+$C$136</f>
        <v>3.6499999999999998E-2</v>
      </c>
      <c r="D54" s="77">
        <f>+(C54*D53)*-1</f>
        <v>0</v>
      </c>
      <c r="F54" s="61"/>
    </row>
    <row r="55" spans="1:6">
      <c r="A55" s="116" t="s">
        <v>6</v>
      </c>
      <c r="B55" s="116" t="s">
        <v>389</v>
      </c>
      <c r="C55" s="54"/>
      <c r="D55" s="301"/>
      <c r="F55" s="61"/>
    </row>
    <row r="56" spans="1:6">
      <c r="A56" s="75" t="s">
        <v>179</v>
      </c>
      <c r="B56" s="34" t="s">
        <v>178</v>
      </c>
      <c r="C56" s="29">
        <f>+$C$135+$C$136</f>
        <v>3.6499999999999998E-2</v>
      </c>
      <c r="D56" s="77">
        <f>+(C56*D55)*-1</f>
        <v>0</v>
      </c>
      <c r="F56" s="61"/>
    </row>
    <row r="57" spans="1:6">
      <c r="A57" s="116" t="s">
        <v>25</v>
      </c>
      <c r="B57" s="116" t="s">
        <v>396</v>
      </c>
      <c r="C57" s="54"/>
      <c r="D57" s="302"/>
      <c r="F57" s="130"/>
    </row>
    <row r="58" spans="1:6">
      <c r="A58" s="75" t="s">
        <v>180</v>
      </c>
      <c r="B58" s="34" t="s">
        <v>178</v>
      </c>
      <c r="C58" s="29">
        <f>+$C$135+$C$136</f>
        <v>3.6499999999999998E-2</v>
      </c>
      <c r="D58" s="77">
        <f>+(C58*D57)*-1</f>
        <v>0</v>
      </c>
    </row>
    <row r="59" spans="1:6">
      <c r="A59" s="116" t="s">
        <v>26</v>
      </c>
      <c r="B59" s="416" t="s">
        <v>293</v>
      </c>
      <c r="C59" s="416"/>
      <c r="D59" s="301"/>
    </row>
    <row r="60" spans="1:6">
      <c r="A60" s="75" t="s">
        <v>81</v>
      </c>
      <c r="B60" s="34" t="s">
        <v>178</v>
      </c>
      <c r="C60" s="29">
        <f>+$C$135+$C$136</f>
        <v>3.6499999999999998E-2</v>
      </c>
      <c r="D60" s="77">
        <f>+(C60*D59)*-1</f>
        <v>0</v>
      </c>
    </row>
    <row r="61" spans="1:6">
      <c r="A61" s="373" t="s">
        <v>29</v>
      </c>
      <c r="B61" s="390"/>
      <c r="C61" s="16"/>
      <c r="D61" s="110">
        <f>SUM(D49:D60)</f>
        <v>0</v>
      </c>
    </row>
    <row r="63" spans="1:6">
      <c r="A63" s="409" t="s">
        <v>67</v>
      </c>
      <c r="B63" s="409"/>
      <c r="C63" s="409"/>
      <c r="D63" s="409"/>
    </row>
    <row r="64" spans="1:6">
      <c r="A64" s="24">
        <v>2</v>
      </c>
      <c r="B64" s="409" t="s">
        <v>68</v>
      </c>
      <c r="C64" s="409"/>
      <c r="D64" s="157" t="s">
        <v>24</v>
      </c>
    </row>
    <row r="65" spans="1:4">
      <c r="A65" s="25" t="s">
        <v>39</v>
      </c>
      <c r="B65" s="421" t="s">
        <v>40</v>
      </c>
      <c r="C65" s="421"/>
      <c r="D65" s="18">
        <f>+D33</f>
        <v>0</v>
      </c>
    </row>
    <row r="66" spans="1:4">
      <c r="A66" s="25" t="s">
        <v>48</v>
      </c>
      <c r="B66" s="421" t="s">
        <v>49</v>
      </c>
      <c r="C66" s="421"/>
      <c r="D66" s="18">
        <f>+D45</f>
        <v>0</v>
      </c>
    </row>
    <row r="67" spans="1:4">
      <c r="A67" s="25" t="s">
        <v>60</v>
      </c>
      <c r="B67" s="421" t="s">
        <v>61</v>
      </c>
      <c r="C67" s="421"/>
      <c r="D67" s="68">
        <f>+D61</f>
        <v>0</v>
      </c>
    </row>
    <row r="68" spans="1:4">
      <c r="A68" s="409" t="s">
        <v>29</v>
      </c>
      <c r="B68" s="409"/>
      <c r="C68" s="409"/>
      <c r="D68" s="26">
        <f>SUM(D65:D67)</f>
        <v>0</v>
      </c>
    </row>
    <row r="70" spans="1:4">
      <c r="A70" s="409" t="s">
        <v>69</v>
      </c>
      <c r="B70" s="409"/>
      <c r="C70" s="409"/>
      <c r="D70" s="409"/>
    </row>
    <row r="72" spans="1:4">
      <c r="A72" s="13">
        <v>3</v>
      </c>
      <c r="B72" s="14" t="s">
        <v>70</v>
      </c>
      <c r="C72" s="151" t="s">
        <v>50</v>
      </c>
      <c r="D72" s="151" t="s">
        <v>24</v>
      </c>
    </row>
    <row r="73" spans="1:4">
      <c r="A73" s="152" t="s">
        <v>3</v>
      </c>
      <c r="B73" s="34" t="s">
        <v>72</v>
      </c>
      <c r="C73" s="29" t="e">
        <f>+D73/$D$23</f>
        <v>#DIV/0!</v>
      </c>
      <c r="D73" s="118">
        <f>+'Calculo 12 36 Diu Des'!C122</f>
        <v>0</v>
      </c>
    </row>
    <row r="74" spans="1:4">
      <c r="A74" s="152" t="s">
        <v>4</v>
      </c>
      <c r="B74" s="6" t="s">
        <v>73</v>
      </c>
      <c r="C74" s="52"/>
      <c r="D74" s="8">
        <f>ROUND(+D73*$C$44,2)</f>
        <v>0</v>
      </c>
    </row>
    <row r="75" spans="1:4" ht="25.5">
      <c r="A75" s="152" t="s">
        <v>5</v>
      </c>
      <c r="B75" s="30" t="s">
        <v>75</v>
      </c>
      <c r="C75" s="17" t="e">
        <f>+D75/$D$23</f>
        <v>#DIV/0!</v>
      </c>
      <c r="D75" s="8">
        <f>+'Calculo 12 36 Diu Des'!C136</f>
        <v>0</v>
      </c>
    </row>
    <row r="76" spans="1:4">
      <c r="A76" s="108" t="s">
        <v>6</v>
      </c>
      <c r="B76" s="6" t="s">
        <v>71</v>
      </c>
      <c r="C76" s="17" t="e">
        <f>+D76/$D$23</f>
        <v>#DIV/0!</v>
      </c>
      <c r="D76" s="8">
        <f>+'Calculo 12 36 Diu Des'!C144</f>
        <v>0</v>
      </c>
    </row>
    <row r="77" spans="1:4" ht="25.5">
      <c r="A77" s="108" t="s">
        <v>25</v>
      </c>
      <c r="B77" s="30" t="s">
        <v>74</v>
      </c>
      <c r="C77" s="52"/>
      <c r="D77" s="8">
        <f>+D76*C45</f>
        <v>0</v>
      </c>
    </row>
    <row r="78" spans="1:4" ht="25.5">
      <c r="A78" s="108" t="s">
        <v>26</v>
      </c>
      <c r="B78" s="30" t="s">
        <v>76</v>
      </c>
      <c r="C78" s="17" t="e">
        <f>+D78/$D$23</f>
        <v>#DIV/0!</v>
      </c>
      <c r="D78" s="18">
        <f>+'Calculo 12 36 Diu Des'!C158</f>
        <v>0</v>
      </c>
    </row>
    <row r="79" spans="1:4">
      <c r="A79" s="373" t="s">
        <v>29</v>
      </c>
      <c r="B79" s="374"/>
      <c r="C79" s="390"/>
      <c r="D79" s="32">
        <f>SUM(D73:D78)</f>
        <v>0</v>
      </c>
    </row>
    <row r="81" spans="1:4">
      <c r="A81" s="409" t="s">
        <v>84</v>
      </c>
      <c r="B81" s="409"/>
      <c r="C81" s="409"/>
      <c r="D81" s="409"/>
    </row>
    <row r="83" spans="1:4">
      <c r="A83" s="404" t="s">
        <v>87</v>
      </c>
      <c r="B83" s="404"/>
      <c r="C83" s="404"/>
      <c r="D83" s="404"/>
    </row>
    <row r="84" spans="1:4">
      <c r="A84" s="13" t="s">
        <v>85</v>
      </c>
      <c r="B84" s="373" t="s">
        <v>86</v>
      </c>
      <c r="C84" s="390"/>
      <c r="D84" s="151" t="s">
        <v>24</v>
      </c>
    </row>
    <row r="85" spans="1:4">
      <c r="A85" s="6" t="s">
        <v>3</v>
      </c>
      <c r="B85" s="377" t="s">
        <v>88</v>
      </c>
      <c r="C85" s="378"/>
      <c r="D85" s="8"/>
    </row>
    <row r="86" spans="1:4">
      <c r="A86" s="34" t="s">
        <v>4</v>
      </c>
      <c r="B86" s="396" t="s">
        <v>86</v>
      </c>
      <c r="C86" s="397"/>
      <c r="D86" s="120">
        <f>+'Calculo 12 36 Diu Des'!C171</f>
        <v>0</v>
      </c>
    </row>
    <row r="87" spans="1:4" s="60" customFormat="1">
      <c r="A87" s="34" t="s">
        <v>5</v>
      </c>
      <c r="B87" s="396" t="s">
        <v>89</v>
      </c>
      <c r="C87" s="397"/>
      <c r="D87" s="120">
        <f>+'Calculo 12 36 Diu Des'!C180</f>
        <v>0</v>
      </c>
    </row>
    <row r="88" spans="1:4" s="60" customFormat="1">
      <c r="A88" s="34" t="s">
        <v>6</v>
      </c>
      <c r="B88" s="396" t="s">
        <v>90</v>
      </c>
      <c r="C88" s="397"/>
      <c r="D88" s="120">
        <f>+'Calculo 12 36 Diu Des'!C188</f>
        <v>0</v>
      </c>
    </row>
    <row r="89" spans="1:4" s="60" customFormat="1" ht="13.5">
      <c r="A89" s="34" t="s">
        <v>25</v>
      </c>
      <c r="B89" s="396" t="s">
        <v>287</v>
      </c>
      <c r="C89" s="397"/>
      <c r="D89" s="120"/>
    </row>
    <row r="90" spans="1:4" s="60" customFormat="1">
      <c r="A90" s="34" t="s">
        <v>26</v>
      </c>
      <c r="B90" s="396" t="s">
        <v>93</v>
      </c>
      <c r="C90" s="397"/>
      <c r="D90" s="120">
        <f>+'Calculo 12 36 Diu Des'!C196</f>
        <v>0</v>
      </c>
    </row>
    <row r="91" spans="1:4">
      <c r="A91" s="6" t="s">
        <v>27</v>
      </c>
      <c r="B91" s="377" t="s">
        <v>36</v>
      </c>
      <c r="C91" s="378"/>
      <c r="D91" s="8"/>
    </row>
    <row r="92" spans="1:4">
      <c r="A92" s="6" t="s">
        <v>28</v>
      </c>
      <c r="B92" s="377" t="s">
        <v>94</v>
      </c>
      <c r="C92" s="378"/>
      <c r="D92" s="8">
        <f>ROUND((D86+D87+D88+D85+D89+D90+D91)*C45,2)</f>
        <v>0</v>
      </c>
    </row>
    <row r="93" spans="1:4">
      <c r="A93" s="380" t="s">
        <v>29</v>
      </c>
      <c r="B93" s="380"/>
      <c r="C93" s="380"/>
      <c r="D93" s="9">
        <f>SUM(D85:D92)</f>
        <v>0</v>
      </c>
    </row>
    <row r="94" spans="1:4">
      <c r="D94" s="15"/>
    </row>
    <row r="95" spans="1:4">
      <c r="A95" s="13" t="s">
        <v>99</v>
      </c>
      <c r="B95" s="373" t="s">
        <v>92</v>
      </c>
      <c r="C95" s="390"/>
      <c r="D95" s="151" t="s">
        <v>24</v>
      </c>
    </row>
    <row r="96" spans="1:4" s="60" customFormat="1">
      <c r="A96" s="34" t="s">
        <v>3</v>
      </c>
      <c r="B96" s="407" t="s">
        <v>96</v>
      </c>
      <c r="C96" s="408"/>
      <c r="D96" s="120">
        <f>+'Calculo 12 36 Diu Des'!C220</f>
        <v>0</v>
      </c>
    </row>
    <row r="97" spans="1:4" s="60" customFormat="1" ht="27.75" customHeight="1">
      <c r="A97" s="34" t="s">
        <v>4</v>
      </c>
      <c r="B97" s="391" t="s">
        <v>98</v>
      </c>
      <c r="C97" s="392"/>
      <c r="D97" s="120">
        <f>ROUND(D96*C45,2)</f>
        <v>0</v>
      </c>
    </row>
    <row r="98" spans="1:4" s="60" customFormat="1" ht="27.75" customHeight="1">
      <c r="A98" s="34" t="s">
        <v>5</v>
      </c>
      <c r="B98" s="391" t="s">
        <v>97</v>
      </c>
      <c r="C98" s="392"/>
      <c r="D98" s="120">
        <f>+'Calculo 12 36 Diu Des'!C230</f>
        <v>0</v>
      </c>
    </row>
    <row r="99" spans="1:4">
      <c r="A99" s="6" t="s">
        <v>6</v>
      </c>
      <c r="B99" s="377" t="s">
        <v>36</v>
      </c>
      <c r="C99" s="378"/>
      <c r="D99" s="8"/>
    </row>
    <row r="100" spans="1:4">
      <c r="A100" s="380" t="s">
        <v>29</v>
      </c>
      <c r="B100" s="380"/>
      <c r="C100" s="380"/>
      <c r="D100" s="9">
        <f>SUM(D96:D99)</f>
        <v>0</v>
      </c>
    </row>
    <row r="101" spans="1:4">
      <c r="D101" s="15"/>
    </row>
    <row r="102" spans="1:4">
      <c r="A102" s="13" t="s">
        <v>91</v>
      </c>
      <c r="B102" s="380" t="s">
        <v>100</v>
      </c>
      <c r="C102" s="380"/>
      <c r="D102" s="151" t="s">
        <v>24</v>
      </c>
    </row>
    <row r="103" spans="1:4" s="50" customFormat="1" ht="33" customHeight="1">
      <c r="A103" s="108" t="s">
        <v>3</v>
      </c>
      <c r="B103" s="393" t="s">
        <v>288</v>
      </c>
      <c r="C103" s="393"/>
      <c r="D103" s="49">
        <f>+'Calculo 12 36 Diu Des'!C209</f>
        <v>0</v>
      </c>
    </row>
    <row r="104" spans="1:4">
      <c r="A104" s="380" t="s">
        <v>29</v>
      </c>
      <c r="B104" s="380"/>
      <c r="C104" s="380"/>
      <c r="D104" s="9">
        <f>SUM(D103:D103)</f>
        <v>0</v>
      </c>
    </row>
    <row r="106" spans="1:4">
      <c r="A106" s="156" t="s">
        <v>109</v>
      </c>
      <c r="B106" s="156"/>
      <c r="C106" s="156"/>
      <c r="D106" s="156"/>
    </row>
    <row r="107" spans="1:4">
      <c r="A107" s="6" t="s">
        <v>85</v>
      </c>
      <c r="B107" s="377" t="s">
        <v>86</v>
      </c>
      <c r="C107" s="378"/>
      <c r="D107" s="18">
        <f>+D93</f>
        <v>0</v>
      </c>
    </row>
    <row r="108" spans="1:4">
      <c r="A108" s="6" t="s">
        <v>99</v>
      </c>
      <c r="B108" s="377" t="s">
        <v>92</v>
      </c>
      <c r="C108" s="378"/>
      <c r="D108" s="18">
        <f>+D100</f>
        <v>0</v>
      </c>
    </row>
    <row r="109" spans="1:4">
      <c r="A109" s="74"/>
      <c r="B109" s="405" t="s">
        <v>110</v>
      </c>
      <c r="C109" s="406"/>
      <c r="D109" s="73">
        <f>+D108+D107</f>
        <v>0</v>
      </c>
    </row>
    <row r="110" spans="1:4">
      <c r="A110" s="6" t="s">
        <v>91</v>
      </c>
      <c r="B110" s="377" t="s">
        <v>100</v>
      </c>
      <c r="C110" s="378"/>
      <c r="D110" s="18">
        <f>+D104</f>
        <v>0</v>
      </c>
    </row>
    <row r="111" spans="1:4">
      <c r="A111" s="379" t="s">
        <v>29</v>
      </c>
      <c r="B111" s="379"/>
      <c r="C111" s="379"/>
      <c r="D111" s="71">
        <f>+D110+D109</f>
        <v>0</v>
      </c>
    </row>
    <row r="113" spans="1:4">
      <c r="A113" s="409" t="s">
        <v>151</v>
      </c>
      <c r="B113" s="409"/>
      <c r="C113" s="409"/>
      <c r="D113" s="409"/>
    </row>
    <row r="115" spans="1:4">
      <c r="A115" s="13">
        <v>5</v>
      </c>
      <c r="B115" s="373" t="s">
        <v>152</v>
      </c>
      <c r="C115" s="390"/>
      <c r="D115" s="151" t="s">
        <v>24</v>
      </c>
    </row>
    <row r="116" spans="1:4">
      <c r="A116" s="6" t="s">
        <v>3</v>
      </c>
      <c r="B116" s="323" t="s">
        <v>153</v>
      </c>
      <c r="C116" s="323"/>
      <c r="D116" s="8">
        <f>+Uniforme!G82</f>
        <v>0</v>
      </c>
    </row>
    <row r="117" spans="1:4">
      <c r="A117" s="6" t="s">
        <v>177</v>
      </c>
      <c r="B117" s="34" t="s">
        <v>178</v>
      </c>
      <c r="C117" s="29">
        <f>+$C$135+$C$136</f>
        <v>3.6499999999999998E-2</v>
      </c>
      <c r="D117" s="77">
        <f>+(C117*D116)*-1</f>
        <v>0</v>
      </c>
    </row>
    <row r="118" spans="1:4">
      <c r="A118" s="6" t="s">
        <v>4</v>
      </c>
      <c r="B118" s="323" t="s">
        <v>154</v>
      </c>
      <c r="C118" s="323"/>
      <c r="D118" s="8"/>
    </row>
    <row r="119" spans="1:4">
      <c r="A119" s="6" t="s">
        <v>41</v>
      </c>
      <c r="B119" s="34" t="s">
        <v>178</v>
      </c>
      <c r="C119" s="29">
        <f>+$C$135+$C$136</f>
        <v>3.6499999999999998E-2</v>
      </c>
      <c r="D119" s="77">
        <f>+(C119*D118)*-1</f>
        <v>0</v>
      </c>
    </row>
    <row r="120" spans="1:4">
      <c r="A120" s="6" t="s">
        <v>5</v>
      </c>
      <c r="B120" s="323" t="s">
        <v>155</v>
      </c>
      <c r="C120" s="323"/>
      <c r="D120" s="8">
        <f>+Uniforme!F89</f>
        <v>0</v>
      </c>
    </row>
    <row r="121" spans="1:4">
      <c r="A121" s="6" t="s">
        <v>161</v>
      </c>
      <c r="B121" s="34" t="s">
        <v>178</v>
      </c>
      <c r="C121" s="29">
        <f>+$C$135+$C$136</f>
        <v>3.6499999999999998E-2</v>
      </c>
      <c r="D121" s="77">
        <f>+(C121*D120)*-1</f>
        <v>0</v>
      </c>
    </row>
    <row r="122" spans="1:4">
      <c r="A122" s="6" t="s">
        <v>6</v>
      </c>
      <c r="B122" s="323" t="s">
        <v>36</v>
      </c>
      <c r="C122" s="323"/>
      <c r="D122" s="8"/>
    </row>
    <row r="123" spans="1:4">
      <c r="A123" s="6" t="s">
        <v>179</v>
      </c>
      <c r="B123" s="34" t="s">
        <v>178</v>
      </c>
      <c r="C123" s="29">
        <f>+$C$135+$C$136</f>
        <v>3.6499999999999998E-2</v>
      </c>
      <c r="D123" s="77">
        <f>+(C123*D122)*-1</f>
        <v>0</v>
      </c>
    </row>
    <row r="124" spans="1:4">
      <c r="A124" s="380" t="s">
        <v>29</v>
      </c>
      <c r="B124" s="380"/>
      <c r="C124" s="380"/>
      <c r="D124" s="9">
        <f>SUM(D116:D122)</f>
        <v>0</v>
      </c>
    </row>
    <row r="126" spans="1:4">
      <c r="A126" s="409" t="s">
        <v>156</v>
      </c>
      <c r="B126" s="409"/>
      <c r="C126" s="409"/>
      <c r="D126" s="409"/>
    </row>
    <row r="128" spans="1:4">
      <c r="A128" s="13">
        <v>6</v>
      </c>
      <c r="B128" s="14" t="s">
        <v>157</v>
      </c>
      <c r="C128" s="155" t="s">
        <v>50</v>
      </c>
      <c r="D128" s="151" t="s">
        <v>24</v>
      </c>
    </row>
    <row r="129" spans="1:4">
      <c r="A129" s="116" t="s">
        <v>3</v>
      </c>
      <c r="B129" s="116" t="s">
        <v>158</v>
      </c>
      <c r="C129" s="114">
        <v>0.03</v>
      </c>
      <c r="D129" s="301">
        <f>($D$124+$D$111+$D$79+$D$68+$D$23)*C129</f>
        <v>0</v>
      </c>
    </row>
    <row r="130" spans="1:4">
      <c r="A130" s="116" t="s">
        <v>4</v>
      </c>
      <c r="B130" s="116" t="s">
        <v>159</v>
      </c>
      <c r="C130" s="114">
        <v>0.03</v>
      </c>
      <c r="D130" s="301">
        <f>($D$124+$D$111+$D$79+$D$68+$D$23+D129)*C130</f>
        <v>0</v>
      </c>
    </row>
    <row r="131" spans="1:4" s="79" customFormat="1">
      <c r="A131" s="381" t="s">
        <v>181</v>
      </c>
      <c r="B131" s="382"/>
      <c r="C131" s="383"/>
      <c r="D131" s="81">
        <f>++D130+D129+D124+D111+D79+D68+D23</f>
        <v>0</v>
      </c>
    </row>
    <row r="132" spans="1:4" s="79" customFormat="1">
      <c r="A132" s="384" t="s">
        <v>182</v>
      </c>
      <c r="B132" s="385"/>
      <c r="C132" s="386"/>
      <c r="D132" s="81">
        <f>ROUND(D131/(1-(C135+C136+C138+C140+C141)),2)</f>
        <v>0</v>
      </c>
    </row>
    <row r="133" spans="1:4">
      <c r="A133" s="6" t="s">
        <v>5</v>
      </c>
      <c r="B133" s="6" t="s">
        <v>160</v>
      </c>
      <c r="C133" s="17"/>
      <c r="D133" s="6"/>
    </row>
    <row r="134" spans="1:4">
      <c r="A134" s="6" t="s">
        <v>161</v>
      </c>
      <c r="B134" s="6" t="s">
        <v>162</v>
      </c>
      <c r="C134" s="17"/>
      <c r="D134" s="6"/>
    </row>
    <row r="135" spans="1:4">
      <c r="A135" s="116" t="s">
        <v>163</v>
      </c>
      <c r="B135" s="116" t="s">
        <v>165</v>
      </c>
      <c r="C135" s="114">
        <v>6.4999999999999997E-3</v>
      </c>
      <c r="D135" s="301">
        <f>ROUND(C135*$D$132,2)</f>
        <v>0</v>
      </c>
    </row>
    <row r="136" spans="1:4">
      <c r="A136" s="116" t="s">
        <v>164</v>
      </c>
      <c r="B136" s="116" t="s">
        <v>166</v>
      </c>
      <c r="C136" s="114">
        <v>0.03</v>
      </c>
      <c r="D136" s="301">
        <f>ROUND(C136*$D$132,2)</f>
        <v>0</v>
      </c>
    </row>
    <row r="137" spans="1:4">
      <c r="A137" s="6" t="s">
        <v>167</v>
      </c>
      <c r="B137" s="6" t="s">
        <v>168</v>
      </c>
      <c r="C137" s="17"/>
      <c r="D137" s="18"/>
    </row>
    <row r="138" spans="1:4">
      <c r="A138" s="6" t="s">
        <v>170</v>
      </c>
      <c r="B138" s="6" t="s">
        <v>169</v>
      </c>
      <c r="C138" s="17"/>
      <c r="D138" s="6"/>
    </row>
    <row r="139" spans="1:4">
      <c r="A139" s="6" t="s">
        <v>171</v>
      </c>
      <c r="B139" s="6" t="s">
        <v>172</v>
      </c>
      <c r="C139" s="17"/>
      <c r="D139" s="6"/>
    </row>
    <row r="140" spans="1:4">
      <c r="A140" s="116" t="s">
        <v>173</v>
      </c>
      <c r="B140" s="116" t="s">
        <v>174</v>
      </c>
      <c r="C140" s="114">
        <v>0.05</v>
      </c>
      <c r="D140" s="301">
        <f>ROUND(C140*$D$132,2)</f>
        <v>0</v>
      </c>
    </row>
    <row r="141" spans="1:4">
      <c r="A141" s="6" t="s">
        <v>175</v>
      </c>
      <c r="B141" s="6" t="s">
        <v>176</v>
      </c>
      <c r="C141" s="17"/>
      <c r="D141" s="6"/>
    </row>
    <row r="142" spans="1:4">
      <c r="A142" s="373" t="s">
        <v>29</v>
      </c>
      <c r="B142" s="374"/>
      <c r="C142" s="80">
        <f>+C141+C140+C138+C136+C135+C130+C129</f>
        <v>0.14650000000000002</v>
      </c>
      <c r="D142" s="9">
        <f>+D140+D138+D136+D135+D130+D129</f>
        <v>0</v>
      </c>
    </row>
    <row r="144" spans="1:4">
      <c r="A144" s="437" t="s">
        <v>183</v>
      </c>
      <c r="B144" s="437"/>
      <c r="C144" s="437"/>
      <c r="D144" s="437"/>
    </row>
    <row r="145" spans="1:4">
      <c r="A145" s="6" t="s">
        <v>3</v>
      </c>
      <c r="B145" s="375" t="s">
        <v>185</v>
      </c>
      <c r="C145" s="375"/>
      <c r="D145" s="8">
        <f>+D23</f>
        <v>0</v>
      </c>
    </row>
    <row r="146" spans="1:4">
      <c r="A146" s="6" t="s">
        <v>184</v>
      </c>
      <c r="B146" s="375" t="s">
        <v>186</v>
      </c>
      <c r="C146" s="375"/>
      <c r="D146" s="8">
        <f>+D68</f>
        <v>0</v>
      </c>
    </row>
    <row r="147" spans="1:4">
      <c r="A147" s="6" t="s">
        <v>5</v>
      </c>
      <c r="B147" s="375" t="s">
        <v>187</v>
      </c>
      <c r="C147" s="375"/>
      <c r="D147" s="8">
        <f>+D79</f>
        <v>0</v>
      </c>
    </row>
    <row r="148" spans="1:4">
      <c r="A148" s="6" t="s">
        <v>6</v>
      </c>
      <c r="B148" s="375" t="s">
        <v>188</v>
      </c>
      <c r="C148" s="375"/>
      <c r="D148" s="8">
        <f>+D111</f>
        <v>0</v>
      </c>
    </row>
    <row r="149" spans="1:4">
      <c r="A149" s="6" t="s">
        <v>25</v>
      </c>
      <c r="B149" s="375" t="s">
        <v>189</v>
      </c>
      <c r="C149" s="375"/>
      <c r="D149" s="8">
        <f>+D124</f>
        <v>0</v>
      </c>
    </row>
    <row r="150" spans="1:4">
      <c r="B150" s="417" t="s">
        <v>192</v>
      </c>
      <c r="C150" s="417"/>
      <c r="D150" s="72">
        <f>SUM(D145:D149)</f>
        <v>0</v>
      </c>
    </row>
    <row r="151" spans="1:4">
      <c r="A151" s="6" t="s">
        <v>26</v>
      </c>
      <c r="B151" s="375" t="s">
        <v>190</v>
      </c>
      <c r="C151" s="375"/>
      <c r="D151" s="8">
        <f>+D142</f>
        <v>0</v>
      </c>
    </row>
    <row r="153" spans="1:4">
      <c r="A153" s="436" t="s">
        <v>191</v>
      </c>
      <c r="B153" s="436"/>
      <c r="C153" s="436"/>
      <c r="D153" s="82">
        <f>ROUND(+D151+D150,2)</f>
        <v>0</v>
      </c>
    </row>
    <row r="155" spans="1:4">
      <c r="A155" s="419" t="s">
        <v>77</v>
      </c>
      <c r="B155" s="419"/>
      <c r="C155" s="419"/>
      <c r="D155" s="419"/>
    </row>
    <row r="157" spans="1:4">
      <c r="A157" s="6" t="s">
        <v>3</v>
      </c>
      <c r="B157" s="6" t="s">
        <v>46</v>
      </c>
      <c r="C157" s="44" t="e">
        <f>+C29</f>
        <v>#DIV/0!</v>
      </c>
      <c r="D157" s="8">
        <f>+D29</f>
        <v>0</v>
      </c>
    </row>
    <row r="158" spans="1:4">
      <c r="A158" s="6" t="s">
        <v>4</v>
      </c>
      <c r="B158" s="6" t="s">
        <v>45</v>
      </c>
      <c r="C158" s="44" t="e">
        <f>+C31</f>
        <v>#DIV/0!</v>
      </c>
      <c r="D158" s="8">
        <f>+D31</f>
        <v>0</v>
      </c>
    </row>
    <row r="159" spans="1:4">
      <c r="A159" s="6" t="s">
        <v>5</v>
      </c>
      <c r="B159" s="6" t="s">
        <v>44</v>
      </c>
      <c r="C159" s="44" t="e">
        <f>+C32</f>
        <v>#DIV/0!</v>
      </c>
      <c r="D159" s="8">
        <f>+D32</f>
        <v>0</v>
      </c>
    </row>
    <row r="160" spans="1:4" ht="25.5">
      <c r="A160" s="6" t="s">
        <v>6</v>
      </c>
      <c r="B160" s="30" t="s">
        <v>75</v>
      </c>
      <c r="C160" s="17" t="e">
        <f>+C75</f>
        <v>#DIV/0!</v>
      </c>
      <c r="D160" s="8">
        <f>+D75</f>
        <v>0</v>
      </c>
    </row>
    <row r="161" spans="1:5" ht="25.5">
      <c r="A161" s="6" t="s">
        <v>25</v>
      </c>
      <c r="B161" s="30" t="s">
        <v>76</v>
      </c>
      <c r="C161" s="44" t="e">
        <f>+C78</f>
        <v>#DIV/0!</v>
      </c>
      <c r="D161" s="18">
        <f>+D78</f>
        <v>0</v>
      </c>
    </row>
    <row r="162" spans="1:5">
      <c r="A162" s="6" t="s">
        <v>81</v>
      </c>
      <c r="B162" s="34" t="s">
        <v>79</v>
      </c>
      <c r="C162" s="418" t="e">
        <f>+(D162+D163+D164)/D23</f>
        <v>#DIV/0!</v>
      </c>
      <c r="D162" s="8">
        <f>ROUND(D29*(SUM($C$37:$C$44)),2)</f>
        <v>0</v>
      </c>
    </row>
    <row r="163" spans="1:5">
      <c r="A163" s="6" t="s">
        <v>82</v>
      </c>
      <c r="B163" s="34" t="s">
        <v>78</v>
      </c>
      <c r="C163" s="418"/>
      <c r="D163" s="8">
        <f>ROUND(D31*(SUM($C$37:$C$44)),2)</f>
        <v>0</v>
      </c>
    </row>
    <row r="164" spans="1:5">
      <c r="A164" s="6" t="s">
        <v>83</v>
      </c>
      <c r="B164" s="34" t="s">
        <v>80</v>
      </c>
      <c r="C164" s="418"/>
      <c r="D164" s="8">
        <f>ROUND(D32*(SUM($C$37:$C$44)),2)</f>
        <v>0</v>
      </c>
    </row>
    <row r="165" spans="1:5">
      <c r="A165" s="388" t="s">
        <v>29</v>
      </c>
      <c r="B165" s="389"/>
      <c r="C165" s="420"/>
      <c r="D165" s="45">
        <f>SUM(D157:D164)</f>
        <v>0</v>
      </c>
    </row>
    <row r="166" spans="1:5">
      <c r="B166" s="96"/>
      <c r="C166" s="96"/>
      <c r="D166" s="96"/>
    </row>
    <row r="167" spans="1:5" s="67" customFormat="1" ht="44.25" customHeight="1">
      <c r="A167" s="414" t="s">
        <v>289</v>
      </c>
      <c r="B167" s="414"/>
      <c r="C167" s="414"/>
      <c r="D167" s="414"/>
      <c r="E167" s="128"/>
    </row>
    <row r="168" spans="1:5">
      <c r="A168" s="97"/>
      <c r="B168" s="97"/>
      <c r="C168" s="97"/>
      <c r="D168" s="97"/>
      <c r="E168" s="97"/>
    </row>
    <row r="169" spans="1:5" ht="42" customHeight="1">
      <c r="A169" s="415" t="s">
        <v>290</v>
      </c>
      <c r="B169" s="415"/>
      <c r="C169" s="415"/>
      <c r="D169" s="415"/>
      <c r="E169" s="97"/>
    </row>
    <row r="170" spans="1:5">
      <c r="A170" s="97"/>
      <c r="B170" s="97"/>
      <c r="C170" s="97"/>
      <c r="D170" s="97"/>
      <c r="E170" s="97"/>
    </row>
    <row r="171" spans="1:5">
      <c r="A171" s="97"/>
      <c r="B171" s="97"/>
      <c r="C171" s="97"/>
      <c r="D171" s="97"/>
      <c r="E171" s="97"/>
    </row>
    <row r="172" spans="1:5">
      <c r="A172" s="97"/>
      <c r="B172" s="97"/>
      <c r="C172" s="97"/>
      <c r="D172" s="97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</sheetData>
  <mergeCells count="83">
    <mergeCell ref="A165:C165"/>
    <mergeCell ref="A167:D167"/>
    <mergeCell ref="B147:C147"/>
    <mergeCell ref="B148:C148"/>
    <mergeCell ref="B149:C149"/>
    <mergeCell ref="B150:C150"/>
    <mergeCell ref="B151:C151"/>
    <mergeCell ref="A169:D169"/>
    <mergeCell ref="B146:C146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A153:C153"/>
    <mergeCell ref="A155:D155"/>
    <mergeCell ref="C162:C164"/>
    <mergeCell ref="B115:C115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98:C98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85:C85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A61:B61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B17:C1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</mergeCells>
  <pageMargins left="1.0629921259842521" right="0.11811023622047245" top="0.4" bottom="0.56999999999999995" header="0.31496062992125984" footer="0.31496062992125984"/>
  <pageSetup paperSize="9" scale="9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D230"/>
  <sheetViews>
    <sheetView workbookViewId="0">
      <selection activeCell="A12" sqref="A12"/>
    </sheetView>
  </sheetViews>
  <sheetFormatPr defaultRowHeight="12.75"/>
  <cols>
    <col min="1" max="1" width="64.5" customWidth="1"/>
    <col min="2" max="2" width="12.25" bestFit="1" customWidth="1"/>
    <col min="3" max="3" width="11.875" bestFit="1" customWidth="1"/>
    <col min="4" max="4" width="9.375" bestFit="1" customWidth="1"/>
    <col min="5" max="5" width="69.125" customWidth="1"/>
  </cols>
  <sheetData>
    <row r="1" spans="1:3" ht="16.5">
      <c r="A1" s="454" t="s">
        <v>331</v>
      </c>
      <c r="B1" s="454"/>
      <c r="C1" s="454"/>
    </row>
    <row r="3" spans="1:3">
      <c r="A3" s="6" t="s">
        <v>102</v>
      </c>
      <c r="B3" s="6">
        <v>220</v>
      </c>
    </row>
    <row r="4" spans="1:3">
      <c r="A4" s="6" t="s">
        <v>228</v>
      </c>
      <c r="B4" s="6">
        <v>365.25</v>
      </c>
    </row>
    <row r="5" spans="1:3">
      <c r="A5" s="6" t="s">
        <v>230</v>
      </c>
      <c r="B5" s="51">
        <f>(365.25/12/2)/(7/7)</f>
        <v>15.21875</v>
      </c>
    </row>
    <row r="6" spans="1:3">
      <c r="A6" s="34" t="s">
        <v>30</v>
      </c>
      <c r="B6" s="18">
        <f>+'Vigilante 12X36 Diurno Des'!D12</f>
        <v>0</v>
      </c>
    </row>
    <row r="7" spans="1:3">
      <c r="A7" s="34" t="s">
        <v>241</v>
      </c>
      <c r="B7" s="18">
        <f>+'Vigilante 12X36 Diurno Des'!D23</f>
        <v>0</v>
      </c>
    </row>
    <row r="9" spans="1:3">
      <c r="A9" s="434" t="s">
        <v>209</v>
      </c>
      <c r="B9" s="434"/>
      <c r="C9" s="434"/>
    </row>
    <row r="10" spans="1:3">
      <c r="A10" s="6" t="s">
        <v>30</v>
      </c>
      <c r="B10" s="52"/>
      <c r="C10" s="90">
        <f>+'Vigilante 12X36 Diurno Des'!D12</f>
        <v>0</v>
      </c>
    </row>
    <row r="11" spans="1:3">
      <c r="A11" s="6" t="s">
        <v>31</v>
      </c>
      <c r="B11" s="52"/>
      <c r="C11" s="90">
        <f>+'Vigilante 12X36 Diurno Des'!D13</f>
        <v>0</v>
      </c>
    </row>
    <row r="12" spans="1:3">
      <c r="A12" s="6" t="s">
        <v>32</v>
      </c>
      <c r="B12" s="52"/>
      <c r="C12" s="90">
        <f>+'Vigilante 12X36 Diurno Des'!D14</f>
        <v>0</v>
      </c>
    </row>
    <row r="13" spans="1:3">
      <c r="A13" s="6" t="s">
        <v>33</v>
      </c>
      <c r="B13" s="52"/>
      <c r="C13" s="90">
        <f>+'Vigilante 12X36 Diurno Des'!D15</f>
        <v>0</v>
      </c>
    </row>
    <row r="14" spans="1:3">
      <c r="A14" s="6" t="s">
        <v>34</v>
      </c>
      <c r="B14" s="52"/>
      <c r="C14" s="90">
        <f>+'Vigilante 12X36 Diurno Des'!D16</f>
        <v>0</v>
      </c>
    </row>
    <row r="15" spans="1:3">
      <c r="A15" t="s">
        <v>65</v>
      </c>
      <c r="B15" s="52"/>
      <c r="C15" s="90">
        <f>+'Vigilante 12X36 Diurno Des'!D20</f>
        <v>0</v>
      </c>
    </row>
    <row r="16" spans="1:3">
      <c r="A16" s="35" t="s">
        <v>193</v>
      </c>
      <c r="B16" s="101"/>
      <c r="C16" s="102">
        <f>SUM(C10:C15)</f>
        <v>0</v>
      </c>
    </row>
    <row r="17" spans="1:3">
      <c r="A17" s="6" t="s">
        <v>102</v>
      </c>
      <c r="B17" s="57">
        <f>+B3</f>
        <v>220</v>
      </c>
      <c r="C17" s="54"/>
    </row>
    <row r="18" spans="1:3">
      <c r="A18" s="35" t="s">
        <v>103</v>
      </c>
      <c r="B18" s="101"/>
      <c r="C18" s="36">
        <f>+C16/B17</f>
        <v>0</v>
      </c>
    </row>
    <row r="19" spans="1:3">
      <c r="A19" s="6" t="s">
        <v>197</v>
      </c>
      <c r="B19" s="6">
        <v>16</v>
      </c>
      <c r="C19" s="54"/>
    </row>
    <row r="20" spans="1:3">
      <c r="A20" s="6" t="s">
        <v>198</v>
      </c>
      <c r="B20" s="6">
        <v>12</v>
      </c>
      <c r="C20" s="54"/>
    </row>
    <row r="21" spans="1:3">
      <c r="A21" s="6" t="s">
        <v>199</v>
      </c>
      <c r="B21" s="6">
        <f>+B20*B19</f>
        <v>192</v>
      </c>
      <c r="C21" s="8">
        <f>+B21*C18</f>
        <v>0</v>
      </c>
    </row>
    <row r="22" spans="1:3">
      <c r="A22" s="6" t="s">
        <v>200</v>
      </c>
      <c r="B22" s="17">
        <v>0.5</v>
      </c>
      <c r="C22" s="8">
        <f>+B22*C21</f>
        <v>0</v>
      </c>
    </row>
    <row r="23" spans="1:3">
      <c r="A23" s="6" t="s">
        <v>201</v>
      </c>
      <c r="B23" s="17">
        <v>1</v>
      </c>
      <c r="C23" s="8">
        <f>+B23*C22</f>
        <v>0</v>
      </c>
    </row>
    <row r="24" spans="1:3">
      <c r="A24" s="6" t="s">
        <v>202</v>
      </c>
      <c r="B24" s="6">
        <v>12</v>
      </c>
      <c r="C24" s="91"/>
    </row>
    <row r="25" spans="1:3">
      <c r="A25" s="431" t="s">
        <v>203</v>
      </c>
      <c r="B25" s="432"/>
      <c r="C25" s="45">
        <f>+C23/B24</f>
        <v>0</v>
      </c>
    </row>
    <row r="26" spans="1:3">
      <c r="C26" s="15"/>
    </row>
    <row r="27" spans="1:3">
      <c r="A27" s="434" t="s">
        <v>210</v>
      </c>
      <c r="B27" s="434"/>
      <c r="C27" s="434"/>
    </row>
    <row r="28" spans="1:3">
      <c r="A28" s="6" t="s">
        <v>103</v>
      </c>
      <c r="B28" s="52"/>
      <c r="C28" s="90">
        <f>+C18</f>
        <v>0</v>
      </c>
    </row>
    <row r="29" spans="1:3">
      <c r="A29" s="6" t="s">
        <v>199</v>
      </c>
      <c r="B29" s="6">
        <v>192</v>
      </c>
      <c r="C29" s="54"/>
    </row>
    <row r="30" spans="1:3">
      <c r="A30" s="6" t="s">
        <v>204</v>
      </c>
      <c r="B30" s="6">
        <f>+$B$4</f>
        <v>365.25</v>
      </c>
      <c r="C30" s="54"/>
    </row>
    <row r="31" spans="1:3">
      <c r="A31" s="6" t="s">
        <v>197</v>
      </c>
      <c r="B31" s="6">
        <v>16</v>
      </c>
      <c r="C31" s="54"/>
    </row>
    <row r="32" spans="1:3">
      <c r="A32" s="6" t="s">
        <v>200</v>
      </c>
      <c r="B32" s="17">
        <v>0.5</v>
      </c>
      <c r="C32" s="54"/>
    </row>
    <row r="33" spans="1:3">
      <c r="A33" s="6" t="s">
        <v>205</v>
      </c>
      <c r="B33" s="92">
        <f>ROUND(((B30/7)*6)-B31,2)</f>
        <v>297.07</v>
      </c>
      <c r="C33" s="54"/>
    </row>
    <row r="34" spans="1:3">
      <c r="A34" s="6" t="s">
        <v>206</v>
      </c>
      <c r="B34" s="34">
        <v>12</v>
      </c>
      <c r="C34" s="54"/>
    </row>
    <row r="35" spans="1:3" ht="25.5">
      <c r="A35" s="30" t="s">
        <v>207</v>
      </c>
      <c r="B35" s="6">
        <f>+((B29/B34)*B32)/B33</f>
        <v>2.6929679873430507E-2</v>
      </c>
      <c r="C35" s="54"/>
    </row>
    <row r="36" spans="1:3">
      <c r="A36" s="24" t="s">
        <v>208</v>
      </c>
      <c r="B36" s="24"/>
      <c r="C36" s="45">
        <f>+C28*(B30-B33)*B35</f>
        <v>0</v>
      </c>
    </row>
    <row r="37" spans="1:3">
      <c r="C37" s="15"/>
    </row>
    <row r="38" spans="1:3">
      <c r="A38" s="419" t="s">
        <v>107</v>
      </c>
      <c r="B38" s="419"/>
      <c r="C38" s="419"/>
    </row>
    <row r="39" spans="1:3">
      <c r="A39" s="55" t="s">
        <v>30</v>
      </c>
      <c r="B39" s="86"/>
      <c r="C39" s="56">
        <f>+'Vigilante 12X36 Diurno Des'!D12</f>
        <v>0</v>
      </c>
    </row>
    <row r="40" spans="1:3">
      <c r="A40" s="55" t="s">
        <v>31</v>
      </c>
      <c r="B40" s="58"/>
      <c r="C40" s="56">
        <f>+'Vigilante 12X36 Diurno Des'!D13</f>
        <v>0</v>
      </c>
    </row>
    <row r="41" spans="1:3">
      <c r="A41" s="55" t="s">
        <v>32</v>
      </c>
      <c r="B41" s="58"/>
      <c r="C41" s="56">
        <f>+'Vigilante 12X36 Diurno Des'!D14</f>
        <v>0</v>
      </c>
    </row>
    <row r="42" spans="1:3">
      <c r="A42" s="55" t="s">
        <v>33</v>
      </c>
      <c r="B42" s="58"/>
      <c r="C42" s="56">
        <f>+'Vigilante 12X36 Diurno Des'!D15</f>
        <v>0</v>
      </c>
    </row>
    <row r="43" spans="1:3">
      <c r="A43" s="55" t="s">
        <v>34</v>
      </c>
      <c r="B43" s="58"/>
      <c r="C43" s="56">
        <f>+'Vigilante 12X36 Diurno Des'!D16</f>
        <v>0</v>
      </c>
    </row>
    <row r="44" spans="1:3">
      <c r="A44" s="55" t="s">
        <v>35</v>
      </c>
      <c r="B44" s="58"/>
      <c r="C44" s="56">
        <f>+'Vigilante 12X36 Diurno Des'!D18</f>
        <v>0</v>
      </c>
    </row>
    <row r="45" spans="1:3">
      <c r="A45" s="55" t="s">
        <v>65</v>
      </c>
      <c r="B45" s="58"/>
      <c r="C45" s="56">
        <f>+'Vigilante 12X36 Diurno Des'!D20</f>
        <v>0</v>
      </c>
    </row>
    <row r="46" spans="1:3">
      <c r="A46" s="35" t="s">
        <v>101</v>
      </c>
      <c r="B46" s="99"/>
      <c r="C46" s="100">
        <f>SUM(C39:C45)</f>
        <v>0</v>
      </c>
    </row>
    <row r="47" spans="1:3">
      <c r="A47" s="6" t="s">
        <v>102</v>
      </c>
      <c r="B47" s="57">
        <f>+B3</f>
        <v>220</v>
      </c>
      <c r="C47" s="58"/>
    </row>
    <row r="48" spans="1:3">
      <c r="A48" s="6" t="s">
        <v>103</v>
      </c>
      <c r="B48" s="58"/>
      <c r="C48" s="59">
        <f>ROUND(+C46/B47,2)</f>
        <v>0</v>
      </c>
    </row>
    <row r="49" spans="1:3">
      <c r="A49" s="6" t="s">
        <v>229</v>
      </c>
      <c r="B49" s="51">
        <f>(365.25/12/2)/(7/7)</f>
        <v>15.21875</v>
      </c>
      <c r="C49" s="58"/>
    </row>
    <row r="50" spans="1:3">
      <c r="A50" s="6" t="s">
        <v>105</v>
      </c>
      <c r="B50" s="17">
        <v>0.5</v>
      </c>
      <c r="C50" s="6"/>
    </row>
    <row r="51" spans="1:3">
      <c r="A51" s="431" t="s">
        <v>106</v>
      </c>
      <c r="B51" s="432"/>
      <c r="C51" s="45">
        <f>ROUND((B49*C48)*(1+B50),2)</f>
        <v>0</v>
      </c>
    </row>
    <row r="53" spans="1:3">
      <c r="A53" s="419" t="s">
        <v>212</v>
      </c>
      <c r="B53" s="419"/>
      <c r="C53" s="419"/>
    </row>
    <row r="54" spans="1:3">
      <c r="A54" s="6" t="s">
        <v>204</v>
      </c>
      <c r="B54" s="6">
        <v>365.25</v>
      </c>
      <c r="C54" s="52"/>
    </row>
    <row r="55" spans="1:3">
      <c r="A55" s="6" t="s">
        <v>206</v>
      </c>
      <c r="B55" s="34">
        <v>12</v>
      </c>
      <c r="C55" s="52"/>
    </row>
    <row r="56" spans="1:3">
      <c r="A56" s="6" t="s">
        <v>213</v>
      </c>
      <c r="B56" s="17">
        <v>0.5</v>
      </c>
      <c r="C56" s="52"/>
    </row>
    <row r="57" spans="1:3">
      <c r="A57" s="103" t="s">
        <v>388</v>
      </c>
      <c r="B57" s="34">
        <v>7</v>
      </c>
      <c r="C57" s="52"/>
    </row>
    <row r="58" spans="1:3">
      <c r="A58" s="34" t="s">
        <v>214</v>
      </c>
      <c r="B58" s="52"/>
      <c r="C58" s="18">
        <f>+'Vigilante 12X36 Diurno Des'!$D$12</f>
        <v>0</v>
      </c>
    </row>
    <row r="59" spans="1:3">
      <c r="A59" s="34" t="s">
        <v>31</v>
      </c>
      <c r="B59" s="52"/>
      <c r="C59" s="18">
        <f>+'Vigilante 12X36 Diurno Des'!$D$13</f>
        <v>0</v>
      </c>
    </row>
    <row r="60" spans="1:3">
      <c r="A60" s="34" t="s">
        <v>32</v>
      </c>
      <c r="B60" s="52"/>
      <c r="C60" s="18">
        <f>+'Vigilante 12X36 Diurno Des'!$D$14</f>
        <v>0</v>
      </c>
    </row>
    <row r="61" spans="1:3">
      <c r="A61" s="104" t="s">
        <v>193</v>
      </c>
      <c r="B61" s="52"/>
      <c r="C61" s="105">
        <f>SUM(C58:C60)</f>
        <v>0</v>
      </c>
    </row>
    <row r="62" spans="1:3">
      <c r="A62" s="6" t="s">
        <v>102</v>
      </c>
      <c r="B62" s="106">
        <f>+B3</f>
        <v>220</v>
      </c>
      <c r="C62" s="52"/>
    </row>
    <row r="63" spans="1:3">
      <c r="A63" s="34" t="s">
        <v>215</v>
      </c>
      <c r="B63" s="17">
        <v>0.2</v>
      </c>
      <c r="C63" s="52"/>
    </row>
    <row r="64" spans="1:3">
      <c r="A64" s="34" t="s">
        <v>216</v>
      </c>
      <c r="B64" s="52"/>
      <c r="C64" s="8">
        <f>ROUND((C61/B62)*B63,2)</f>
        <v>0</v>
      </c>
    </row>
    <row r="65" spans="1:3">
      <c r="A65" s="34" t="s">
        <v>217</v>
      </c>
      <c r="B65" s="6">
        <f>ROUND(+B54/B55*B56*B57,0)</f>
        <v>107</v>
      </c>
      <c r="C65" s="53"/>
    </row>
    <row r="66" spans="1:3">
      <c r="A66" s="435" t="s">
        <v>218</v>
      </c>
      <c r="B66" s="435"/>
      <c r="C66" s="32">
        <f>ROUND(+B65*C64,2)</f>
        <v>0</v>
      </c>
    </row>
    <row r="68" spans="1:3">
      <c r="A68" s="434" t="s">
        <v>232</v>
      </c>
      <c r="B68" s="434"/>
      <c r="C68" s="434"/>
    </row>
    <row r="69" spans="1:3">
      <c r="A69" s="6" t="s">
        <v>103</v>
      </c>
      <c r="B69" s="52"/>
      <c r="C69" s="90">
        <f>+C66</f>
        <v>0</v>
      </c>
    </row>
    <row r="70" spans="1:3">
      <c r="A70" s="6" t="s">
        <v>199</v>
      </c>
      <c r="B70" s="6">
        <v>192</v>
      </c>
      <c r="C70" s="54"/>
    </row>
    <row r="71" spans="1:3">
      <c r="A71" s="6" t="s">
        <v>204</v>
      </c>
      <c r="B71" s="6">
        <f>+$B$4</f>
        <v>365.25</v>
      </c>
      <c r="C71" s="54"/>
    </row>
    <row r="72" spans="1:3">
      <c r="A72" s="6" t="s">
        <v>197</v>
      </c>
      <c r="B72" s="6">
        <v>16</v>
      </c>
      <c r="C72" s="54"/>
    </row>
    <row r="73" spans="1:3">
      <c r="A73" s="6" t="s">
        <v>200</v>
      </c>
      <c r="B73" s="17">
        <v>0.5</v>
      </c>
      <c r="C73" s="54"/>
    </row>
    <row r="74" spans="1:3">
      <c r="A74" s="6" t="s">
        <v>205</v>
      </c>
      <c r="B74" s="92">
        <f>ROUND(((B71/7)*6)-B72,2)</f>
        <v>297.07</v>
      </c>
      <c r="C74" s="54"/>
    </row>
    <row r="75" spans="1:3">
      <c r="A75" s="6" t="s">
        <v>206</v>
      </c>
      <c r="B75" s="34">
        <v>12</v>
      </c>
      <c r="C75" s="54"/>
    </row>
    <row r="76" spans="1:3" ht="25.5">
      <c r="A76" s="30" t="s">
        <v>207</v>
      </c>
      <c r="B76" s="6">
        <f>+((B70/B75)*B73)/B74</f>
        <v>2.6929679873430507E-2</v>
      </c>
      <c r="C76" s="54"/>
    </row>
    <row r="77" spans="1:3">
      <c r="A77" s="24" t="s">
        <v>208</v>
      </c>
      <c r="B77" s="24"/>
      <c r="C77" s="45">
        <f>+C69/B70*(B71-B74)*B76</f>
        <v>0</v>
      </c>
    </row>
    <row r="79" spans="1:3">
      <c r="A79" s="419" t="s">
        <v>219</v>
      </c>
      <c r="B79" s="419"/>
      <c r="C79" s="419"/>
    </row>
    <row r="80" spans="1:3">
      <c r="A80" s="6" t="s">
        <v>204</v>
      </c>
      <c r="B80" s="6">
        <f>+$B$4</f>
        <v>365.25</v>
      </c>
      <c r="C80" s="52"/>
    </row>
    <row r="81" spans="1:4">
      <c r="A81" s="6" t="s">
        <v>206</v>
      </c>
      <c r="B81" s="34">
        <v>12</v>
      </c>
      <c r="C81" s="52"/>
    </row>
    <row r="82" spans="1:4">
      <c r="A82" s="6" t="s">
        <v>213</v>
      </c>
      <c r="B82" s="17">
        <v>0.5</v>
      </c>
      <c r="C82" s="52"/>
      <c r="D82" s="109"/>
    </row>
    <row r="83" spans="1:4">
      <c r="A83" s="103" t="s">
        <v>388</v>
      </c>
      <c r="B83" s="34">
        <v>7</v>
      </c>
      <c r="C83" s="52"/>
      <c r="D83" s="109"/>
    </row>
    <row r="84" spans="1:4">
      <c r="A84" s="34" t="s">
        <v>220</v>
      </c>
      <c r="B84" s="51">
        <f>(365.25/12/2)/(7/7)</f>
        <v>15.21875</v>
      </c>
      <c r="C84" s="6"/>
      <c r="D84" s="109"/>
    </row>
    <row r="85" spans="1:4">
      <c r="A85" s="34" t="s">
        <v>221</v>
      </c>
      <c r="B85" s="6">
        <f>ROUND(+B84*B83,2)</f>
        <v>106.53</v>
      </c>
      <c r="C85" s="6"/>
    </row>
    <row r="86" spans="1:4">
      <c r="A86" s="34" t="s">
        <v>214</v>
      </c>
      <c r="B86" s="52"/>
      <c r="C86" s="18">
        <f>+'Vigilante 12X36 Diurno Des'!$D$12</f>
        <v>0</v>
      </c>
    </row>
    <row r="87" spans="1:4">
      <c r="A87" s="34" t="s">
        <v>31</v>
      </c>
      <c r="B87" s="52"/>
      <c r="C87" s="18">
        <f>+'Vigilante 12X36 Diurno Des'!$D$13</f>
        <v>0</v>
      </c>
    </row>
    <row r="88" spans="1:4">
      <c r="A88" s="34" t="s">
        <v>32</v>
      </c>
      <c r="B88" s="52"/>
      <c r="C88" s="18">
        <f>+'Vigilante 12X36 Diurno Des'!$D$14</f>
        <v>0</v>
      </c>
    </row>
    <row r="89" spans="1:4">
      <c r="A89" s="104" t="s">
        <v>193</v>
      </c>
      <c r="B89" s="52"/>
      <c r="C89" s="105">
        <f>SUM(C86:C88)</f>
        <v>0</v>
      </c>
      <c r="D89" s="88"/>
    </row>
    <row r="90" spans="1:4">
      <c r="A90" s="6" t="s">
        <v>102</v>
      </c>
      <c r="B90" s="106">
        <f>+B3</f>
        <v>220</v>
      </c>
      <c r="C90" s="52"/>
    </row>
    <row r="91" spans="1:4">
      <c r="A91" s="34" t="s">
        <v>215</v>
      </c>
      <c r="B91" s="17">
        <v>0.2</v>
      </c>
      <c r="C91" s="52"/>
    </row>
    <row r="92" spans="1:4">
      <c r="A92" s="34" t="s">
        <v>216</v>
      </c>
      <c r="B92" s="52"/>
      <c r="C92" s="8">
        <f>ROUND((C89/B90)*B91,2)</f>
        <v>0</v>
      </c>
    </row>
    <row r="93" spans="1:4">
      <c r="A93" s="34" t="s">
        <v>223</v>
      </c>
      <c r="B93" s="6">
        <v>60</v>
      </c>
      <c r="C93" s="52"/>
    </row>
    <row r="94" spans="1:4">
      <c r="A94" s="34" t="s">
        <v>222</v>
      </c>
      <c r="B94" s="6">
        <v>52.5</v>
      </c>
      <c r="C94" s="52"/>
    </row>
    <row r="95" spans="1:4">
      <c r="A95" s="34" t="s">
        <v>224</v>
      </c>
      <c r="B95" s="6">
        <f>+B93/B94</f>
        <v>1.1428571428571428</v>
      </c>
      <c r="C95" s="52"/>
    </row>
    <row r="96" spans="1:4">
      <c r="A96" s="34" t="s">
        <v>225</v>
      </c>
      <c r="B96" s="6">
        <f>ROUND(+B95*B85,2)</f>
        <v>121.75</v>
      </c>
      <c r="C96" s="52"/>
    </row>
    <row r="97" spans="1:3">
      <c r="A97" s="34" t="s">
        <v>226</v>
      </c>
      <c r="B97" s="6">
        <f>ROUND(B96-B85,2)</f>
        <v>15.22</v>
      </c>
      <c r="C97" s="53"/>
    </row>
    <row r="98" spans="1:3">
      <c r="A98" s="379" t="s">
        <v>227</v>
      </c>
      <c r="B98" s="379"/>
      <c r="C98" s="71">
        <f>+B97*C92</f>
        <v>0</v>
      </c>
    </row>
    <row r="100" spans="1:3">
      <c r="A100" s="419" t="s">
        <v>233</v>
      </c>
      <c r="B100" s="419"/>
      <c r="C100" s="419"/>
    </row>
    <row r="101" spans="1:3">
      <c r="A101" s="6" t="s">
        <v>204</v>
      </c>
      <c r="B101" s="6">
        <f>+$B$4</f>
        <v>365.25</v>
      </c>
      <c r="C101" s="52"/>
    </row>
    <row r="102" spans="1:3">
      <c r="A102" s="6" t="s">
        <v>206</v>
      </c>
      <c r="B102" s="34">
        <v>12</v>
      </c>
      <c r="C102" s="52"/>
    </row>
    <row r="103" spans="1:3">
      <c r="A103" s="6" t="s">
        <v>213</v>
      </c>
      <c r="B103" s="17">
        <v>0.5</v>
      </c>
      <c r="C103" s="52"/>
    </row>
    <row r="104" spans="1:3">
      <c r="A104" s="34" t="s">
        <v>234</v>
      </c>
      <c r="B104" s="6">
        <f>ROUND((B101/B102)*B103,2)</f>
        <v>15.22</v>
      </c>
      <c r="C104" s="52"/>
    </row>
    <row r="105" spans="1:3">
      <c r="A105" s="198" t="s">
        <v>235</v>
      </c>
      <c r="B105" s="199"/>
      <c r="C105" s="52"/>
    </row>
    <row r="106" spans="1:3">
      <c r="A106" s="34" t="s">
        <v>236</v>
      </c>
      <c r="B106" s="29">
        <v>0.06</v>
      </c>
      <c r="C106" s="52"/>
    </row>
    <row r="107" spans="1:3">
      <c r="A107" s="431" t="s">
        <v>237</v>
      </c>
      <c r="B107" s="432"/>
      <c r="C107" s="45">
        <f>ROUND((B104*(B105*2)-($B$6*B106)),2)</f>
        <v>0</v>
      </c>
    </row>
    <row r="109" spans="1:3">
      <c r="A109" s="419" t="s">
        <v>238</v>
      </c>
      <c r="B109" s="419"/>
      <c r="C109" s="419"/>
    </row>
    <row r="110" spans="1:3">
      <c r="A110" s="6" t="s">
        <v>204</v>
      </c>
      <c r="B110" s="6">
        <f>+$B$4</f>
        <v>365.25</v>
      </c>
      <c r="C110" s="52"/>
    </row>
    <row r="111" spans="1:3">
      <c r="A111" s="6" t="s">
        <v>206</v>
      </c>
      <c r="B111" s="34">
        <v>12</v>
      </c>
      <c r="C111" s="52"/>
    </row>
    <row r="112" spans="1:3">
      <c r="A112" s="6" t="s">
        <v>213</v>
      </c>
      <c r="B112" s="17">
        <v>0.5</v>
      </c>
      <c r="C112" s="52"/>
    </row>
    <row r="113" spans="1:3">
      <c r="A113" s="34" t="s">
        <v>234</v>
      </c>
      <c r="B113" s="6">
        <f>ROUND((B110/B111)*B112,2)</f>
        <v>15.22</v>
      </c>
      <c r="C113" s="52"/>
    </row>
    <row r="114" spans="1:3">
      <c r="A114" s="198" t="s">
        <v>239</v>
      </c>
      <c r="B114" s="199"/>
      <c r="C114" s="52"/>
    </row>
    <row r="115" spans="1:3">
      <c r="A115" s="34" t="s">
        <v>367</v>
      </c>
      <c r="B115" s="29">
        <v>0.2</v>
      </c>
      <c r="C115" s="52"/>
    </row>
    <row r="116" spans="1:3">
      <c r="A116" s="431" t="s">
        <v>239</v>
      </c>
      <c r="B116" s="432"/>
      <c r="C116" s="45">
        <f>ROUND((B113*(B114)-((B113*B114)*B115)),2)</f>
        <v>0</v>
      </c>
    </row>
    <row r="118" spans="1:3">
      <c r="A118" s="419" t="s">
        <v>240</v>
      </c>
      <c r="B118" s="419"/>
      <c r="C118" s="419"/>
    </row>
    <row r="119" spans="1:3">
      <c r="A119" s="6" t="s">
        <v>242</v>
      </c>
      <c r="B119" s="18">
        <f>+B7</f>
        <v>0</v>
      </c>
      <c r="C119" s="52"/>
    </row>
    <row r="120" spans="1:3">
      <c r="A120" s="6" t="s">
        <v>243</v>
      </c>
      <c r="B120" s="6">
        <v>12</v>
      </c>
      <c r="C120" s="52"/>
    </row>
    <row r="121" spans="1:3">
      <c r="A121" s="116" t="s">
        <v>244</v>
      </c>
      <c r="B121" s="114"/>
      <c r="C121" s="52"/>
    </row>
    <row r="122" spans="1:3">
      <c r="A122" s="379" t="s">
        <v>245</v>
      </c>
      <c r="B122" s="379"/>
      <c r="C122" s="45">
        <f>ROUND(+(B119/B120)*B121,2)</f>
        <v>0</v>
      </c>
    </row>
    <row r="124" spans="1:3">
      <c r="A124" s="426" t="s">
        <v>246</v>
      </c>
      <c r="B124" s="427"/>
      <c r="C124" s="428"/>
    </row>
    <row r="125" spans="1:3" s="60" customFormat="1">
      <c r="A125" s="117" t="s">
        <v>251</v>
      </c>
      <c r="B125" s="114">
        <f>+B121</f>
        <v>0</v>
      </c>
      <c r="C125" s="52"/>
    </row>
    <row r="126" spans="1:3">
      <c r="A126" s="6" t="s">
        <v>247</v>
      </c>
      <c r="B126" s="18">
        <f>+'Vigilante 12X36 Diurno Des'!$D$23</f>
        <v>0</v>
      </c>
      <c r="C126" s="52"/>
    </row>
    <row r="127" spans="1:3">
      <c r="A127" s="6" t="s">
        <v>46</v>
      </c>
      <c r="B127" s="18">
        <f>+'Vigilante 12X36 Diurno Des'!$D$29</f>
        <v>0</v>
      </c>
      <c r="C127" s="52"/>
    </row>
    <row r="128" spans="1:3">
      <c r="A128" s="111" t="s">
        <v>45</v>
      </c>
      <c r="B128" s="18">
        <f>+'Vigilante 12X36 Diurno Des'!$D$31</f>
        <v>0</v>
      </c>
      <c r="C128" s="52"/>
    </row>
    <row r="129" spans="1:3">
      <c r="A129" s="111" t="s">
        <v>44</v>
      </c>
      <c r="B129" s="18">
        <f>+'Vigilante 12X36 Diurno Des'!$D$32</f>
        <v>0</v>
      </c>
      <c r="C129" s="52"/>
    </row>
    <row r="130" spans="1:3">
      <c r="A130" s="104" t="s">
        <v>248</v>
      </c>
      <c r="B130" s="105">
        <f>SUM(B126:B129)</f>
        <v>0</v>
      </c>
      <c r="C130" s="52"/>
    </row>
    <row r="131" spans="1:3">
      <c r="A131" s="25" t="s">
        <v>249</v>
      </c>
      <c r="B131" s="17">
        <v>0.4</v>
      </c>
      <c r="C131" s="52"/>
    </row>
    <row r="132" spans="1:3">
      <c r="A132" s="25" t="s">
        <v>250</v>
      </c>
      <c r="B132" s="17">
        <f>+'Vigilante 12X36 Diurno Des'!$C$44</f>
        <v>0.08</v>
      </c>
      <c r="C132" s="52"/>
    </row>
    <row r="133" spans="1:3">
      <c r="A133" s="430" t="s">
        <v>252</v>
      </c>
      <c r="B133" s="430"/>
      <c r="C133" s="73">
        <f>ROUND(+B130*B131*B132*B125,2)</f>
        <v>0</v>
      </c>
    </row>
    <row r="134" spans="1:3">
      <c r="A134" s="25" t="s">
        <v>253</v>
      </c>
      <c r="B134" s="17">
        <v>0.1</v>
      </c>
      <c r="C134" s="52"/>
    </row>
    <row r="135" spans="1:3">
      <c r="A135" s="430" t="s">
        <v>254</v>
      </c>
      <c r="B135" s="430"/>
      <c r="C135" s="112">
        <f>ROUND(B134*B132*B130*B125,2)</f>
        <v>0</v>
      </c>
    </row>
    <row r="136" spans="1:3">
      <c r="A136" s="431" t="s">
        <v>255</v>
      </c>
      <c r="B136" s="432"/>
      <c r="C136" s="71">
        <f>+C135+C133</f>
        <v>0</v>
      </c>
    </row>
    <row r="138" spans="1:3">
      <c r="A138" s="419" t="s">
        <v>256</v>
      </c>
      <c r="B138" s="419"/>
      <c r="C138" s="419"/>
    </row>
    <row r="139" spans="1:3">
      <c r="A139" s="6" t="s">
        <v>242</v>
      </c>
      <c r="B139" s="18">
        <f>+B7</f>
        <v>0</v>
      </c>
      <c r="C139" s="52"/>
    </row>
    <row r="140" spans="1:3">
      <c r="A140" s="6" t="s">
        <v>257</v>
      </c>
      <c r="B140" s="113">
        <v>30</v>
      </c>
      <c r="C140" s="52"/>
    </row>
    <row r="141" spans="1:3">
      <c r="A141" s="6" t="s">
        <v>243</v>
      </c>
      <c r="B141" s="6">
        <v>12</v>
      </c>
      <c r="C141" s="52"/>
    </row>
    <row r="142" spans="1:3">
      <c r="A142" s="6" t="s">
        <v>258</v>
      </c>
      <c r="B142" s="6">
        <v>7</v>
      </c>
      <c r="C142" s="52"/>
    </row>
    <row r="143" spans="1:3">
      <c r="A143" s="116" t="s">
        <v>294</v>
      </c>
      <c r="B143" s="114"/>
      <c r="C143" s="52"/>
    </row>
    <row r="144" spans="1:3">
      <c r="A144" s="379" t="s">
        <v>369</v>
      </c>
      <c r="B144" s="379"/>
      <c r="C144" s="45">
        <f>+ROUND(((B139/B140/B141)*B142)*B143,2)</f>
        <v>0</v>
      </c>
    </row>
    <row r="146" spans="1:3">
      <c r="A146" s="426" t="s">
        <v>259</v>
      </c>
      <c r="B146" s="427"/>
      <c r="C146" s="428"/>
    </row>
    <row r="147" spans="1:3">
      <c r="A147" s="115" t="s">
        <v>260</v>
      </c>
      <c r="B147" s="114">
        <f>+B143</f>
        <v>0</v>
      </c>
      <c r="C147" s="52"/>
    </row>
    <row r="148" spans="1:3">
      <c r="A148" s="6" t="s">
        <v>247</v>
      </c>
      <c r="B148" s="18">
        <f>+'Vigilante 12X36 Diurno Des'!$D$23</f>
        <v>0</v>
      </c>
      <c r="C148" s="52"/>
    </row>
    <row r="149" spans="1:3">
      <c r="A149" s="6" t="s">
        <v>46</v>
      </c>
      <c r="B149" s="18">
        <f>+'Vigilante 12X36 Diurno Des'!$D$29</f>
        <v>0</v>
      </c>
      <c r="C149" s="52"/>
    </row>
    <row r="150" spans="1:3">
      <c r="A150" s="111" t="s">
        <v>45</v>
      </c>
      <c r="B150" s="18">
        <f>+'Vigilante 12X36 Diurno Des'!$D$31</f>
        <v>0</v>
      </c>
      <c r="C150" s="52"/>
    </row>
    <row r="151" spans="1:3">
      <c r="A151" s="111" t="s">
        <v>44</v>
      </c>
      <c r="B151" s="18">
        <f>+'Vigilante 12X36 Diurno Des'!$D$32</f>
        <v>0</v>
      </c>
      <c r="C151" s="52"/>
    </row>
    <row r="152" spans="1:3">
      <c r="A152" s="104" t="s">
        <v>248</v>
      </c>
      <c r="B152" s="105">
        <f>SUM(B148:B151)</f>
        <v>0</v>
      </c>
      <c r="C152" s="52"/>
    </row>
    <row r="153" spans="1:3">
      <c r="A153" s="25" t="s">
        <v>249</v>
      </c>
      <c r="B153" s="17">
        <v>0.4</v>
      </c>
      <c r="C153" s="52"/>
    </row>
    <row r="154" spans="1:3">
      <c r="A154" s="25" t="s">
        <v>250</v>
      </c>
      <c r="B154" s="17">
        <f>+'Vigilante 12X36 Diurno Des'!$C$44</f>
        <v>0.08</v>
      </c>
      <c r="C154" s="52"/>
    </row>
    <row r="155" spans="1:3">
      <c r="A155" s="430" t="s">
        <v>252</v>
      </c>
      <c r="B155" s="430"/>
      <c r="C155" s="73">
        <f>ROUND(+B152*B153*B154*B147,2)</f>
        <v>0</v>
      </c>
    </row>
    <row r="156" spans="1:3">
      <c r="A156" s="25" t="s">
        <v>253</v>
      </c>
      <c r="B156" s="17">
        <v>0.1</v>
      </c>
      <c r="C156" s="52"/>
    </row>
    <row r="157" spans="1:3">
      <c r="A157" s="430" t="s">
        <v>254</v>
      </c>
      <c r="B157" s="430"/>
      <c r="C157" s="112">
        <f>ROUND(B156*B154*B152*B147,2)</f>
        <v>0</v>
      </c>
    </row>
    <row r="158" spans="1:3">
      <c r="A158" s="431" t="s">
        <v>387</v>
      </c>
      <c r="B158" s="432"/>
      <c r="C158" s="71">
        <f>+C157+C155</f>
        <v>0</v>
      </c>
    </row>
    <row r="160" spans="1:3">
      <c r="A160" s="426" t="s">
        <v>262</v>
      </c>
      <c r="B160" s="427"/>
      <c r="C160" s="428"/>
    </row>
    <row r="161" spans="1:3">
      <c r="A161" s="429" t="s">
        <v>359</v>
      </c>
      <c r="B161" s="429"/>
      <c r="C161" s="429"/>
    </row>
    <row r="162" spans="1:3">
      <c r="A162" s="429"/>
      <c r="B162" s="429"/>
      <c r="C162" s="429"/>
    </row>
    <row r="163" spans="1:3">
      <c r="A163" s="429"/>
      <c r="B163" s="429"/>
      <c r="C163" s="429"/>
    </row>
    <row r="164" spans="1:3">
      <c r="A164" s="429"/>
      <c r="B164" s="429"/>
      <c r="C164" s="429"/>
    </row>
    <row r="165" spans="1:3">
      <c r="A165" s="119"/>
      <c r="B165" s="119"/>
      <c r="C165" s="119"/>
    </row>
    <row r="166" spans="1:3">
      <c r="A166" s="422" t="s">
        <v>261</v>
      </c>
      <c r="B166" s="422"/>
      <c r="C166" s="422"/>
    </row>
    <row r="167" spans="1:3">
      <c r="A167" s="6" t="s">
        <v>263</v>
      </c>
      <c r="B167" s="18">
        <f>+$B$7</f>
        <v>0</v>
      </c>
      <c r="C167" s="52"/>
    </row>
    <row r="168" spans="1:3">
      <c r="A168" s="6" t="s">
        <v>206</v>
      </c>
      <c r="B168" s="6">
        <v>30</v>
      </c>
      <c r="C168" s="52"/>
    </row>
    <row r="169" spans="1:3">
      <c r="A169" s="6" t="s">
        <v>264</v>
      </c>
      <c r="B169" s="6">
        <v>12</v>
      </c>
      <c r="C169" s="52"/>
    </row>
    <row r="170" spans="1:3">
      <c r="A170" s="116" t="s">
        <v>265</v>
      </c>
      <c r="B170" s="116"/>
      <c r="C170" s="52"/>
    </row>
    <row r="171" spans="1:3">
      <c r="A171" s="379" t="s">
        <v>266</v>
      </c>
      <c r="B171" s="379"/>
      <c r="C171" s="24">
        <f>+ROUND((B167/B168/B169)*B170,2)</f>
        <v>0</v>
      </c>
    </row>
    <row r="173" spans="1:3">
      <c r="A173" s="422" t="s">
        <v>269</v>
      </c>
      <c r="B173" s="422"/>
      <c r="C173" s="422"/>
    </row>
    <row r="174" spans="1:3">
      <c r="A174" s="6" t="s">
        <v>263</v>
      </c>
      <c r="B174" s="18">
        <f>+$B$7</f>
        <v>0</v>
      </c>
      <c r="C174" s="52"/>
    </row>
    <row r="175" spans="1:3">
      <c r="A175" s="6" t="s">
        <v>206</v>
      </c>
      <c r="B175" s="6">
        <v>30</v>
      </c>
      <c r="C175" s="52"/>
    </row>
    <row r="176" spans="1:3">
      <c r="A176" s="6" t="s">
        <v>264</v>
      </c>
      <c r="B176" s="6">
        <v>12</v>
      </c>
      <c r="C176" s="52"/>
    </row>
    <row r="177" spans="1:3">
      <c r="A177" s="34" t="s">
        <v>267</v>
      </c>
      <c r="B177" s="6">
        <v>5</v>
      </c>
      <c r="C177" s="52"/>
    </row>
    <row r="178" spans="1:3">
      <c r="A178" s="116" t="s">
        <v>268</v>
      </c>
      <c r="B178" s="114"/>
      <c r="C178" s="52"/>
    </row>
    <row r="179" spans="1:3">
      <c r="A179" s="116" t="s">
        <v>270</v>
      </c>
      <c r="B179" s="114"/>
      <c r="C179" s="52"/>
    </row>
    <row r="180" spans="1:3">
      <c r="A180" s="379" t="s">
        <v>271</v>
      </c>
      <c r="B180" s="379"/>
      <c r="C180" s="45">
        <f>ROUND(+B174/B175/B176*B177*B178*B179,2)</f>
        <v>0</v>
      </c>
    </row>
    <row r="182" spans="1:3">
      <c r="A182" s="422" t="s">
        <v>272</v>
      </c>
      <c r="B182" s="422"/>
      <c r="C182" s="422"/>
    </row>
    <row r="183" spans="1:3">
      <c r="A183" s="6" t="s">
        <v>263</v>
      </c>
      <c r="B183" s="18">
        <f>+$B$7</f>
        <v>0</v>
      </c>
      <c r="C183" s="52"/>
    </row>
    <row r="184" spans="1:3">
      <c r="A184" s="6" t="s">
        <v>206</v>
      </c>
      <c r="B184" s="6">
        <v>30</v>
      </c>
      <c r="C184" s="52"/>
    </row>
    <row r="185" spans="1:3">
      <c r="A185" s="6" t="s">
        <v>264</v>
      </c>
      <c r="B185" s="6">
        <v>12</v>
      </c>
      <c r="C185" s="52"/>
    </row>
    <row r="186" spans="1:3">
      <c r="A186" s="34" t="s">
        <v>273</v>
      </c>
      <c r="B186" s="6">
        <v>15</v>
      </c>
      <c r="C186" s="52"/>
    </row>
    <row r="187" spans="1:3">
      <c r="A187" s="116" t="s">
        <v>274</v>
      </c>
      <c r="B187" s="114"/>
      <c r="C187" s="52"/>
    </row>
    <row r="188" spans="1:3">
      <c r="A188" s="379" t="s">
        <v>370</v>
      </c>
      <c r="B188" s="379"/>
      <c r="C188" s="45">
        <f>ROUND(+B183/B184/B185*B186*B187,2)</f>
        <v>0</v>
      </c>
    </row>
    <row r="190" spans="1:3">
      <c r="A190" s="422" t="s">
        <v>275</v>
      </c>
      <c r="B190" s="422"/>
      <c r="C190" s="422"/>
    </row>
    <row r="191" spans="1:3">
      <c r="A191" s="6" t="s">
        <v>263</v>
      </c>
      <c r="B191" s="18">
        <f>+$B$7</f>
        <v>0</v>
      </c>
      <c r="C191" s="52"/>
    </row>
    <row r="192" spans="1:3">
      <c r="A192" s="6" t="s">
        <v>206</v>
      </c>
      <c r="B192" s="6">
        <v>30</v>
      </c>
      <c r="C192" s="52"/>
    </row>
    <row r="193" spans="1:3">
      <c r="A193" s="6" t="s">
        <v>264</v>
      </c>
      <c r="B193" s="6">
        <v>12</v>
      </c>
      <c r="C193" s="52"/>
    </row>
    <row r="194" spans="1:3">
      <c r="A194" s="34" t="s">
        <v>273</v>
      </c>
      <c r="B194" s="6">
        <v>5</v>
      </c>
      <c r="C194" s="52"/>
    </row>
    <row r="195" spans="1:3">
      <c r="A195" s="116" t="s">
        <v>276</v>
      </c>
      <c r="B195" s="114"/>
      <c r="C195" s="52"/>
    </row>
    <row r="196" spans="1:3">
      <c r="A196" s="379" t="s">
        <v>371</v>
      </c>
      <c r="B196" s="379"/>
      <c r="C196" s="45">
        <f>ROUND(+B191/B192/B193*B194*B195,2)</f>
        <v>0</v>
      </c>
    </row>
    <row r="198" spans="1:3">
      <c r="A198" s="419" t="s">
        <v>108</v>
      </c>
      <c r="B198" s="419"/>
      <c r="C198" s="419"/>
    </row>
    <row r="199" spans="1:3">
      <c r="A199" s="83" t="s">
        <v>23</v>
      </c>
      <c r="B199" s="87"/>
      <c r="C199" s="18">
        <f>+'Vigilante 12X36 Diurno Des'!D23-'Vigilante 12X36 Diurno Des'!D21</f>
        <v>0</v>
      </c>
    </row>
    <row r="200" spans="1:3">
      <c r="A200" s="83" t="s">
        <v>68</v>
      </c>
      <c r="B200" s="87"/>
      <c r="C200" s="18">
        <f>+'Vigilante 12X36 Diurno Des'!D68</f>
        <v>0</v>
      </c>
    </row>
    <row r="201" spans="1:3">
      <c r="A201" s="83" t="s">
        <v>153</v>
      </c>
      <c r="B201" s="87"/>
      <c r="C201" s="18">
        <f>+'Vigilante 12X36 Diurno Des'!D116</f>
        <v>0</v>
      </c>
    </row>
    <row r="202" spans="1:3">
      <c r="A202" s="83" t="s">
        <v>86</v>
      </c>
      <c r="B202" s="87"/>
      <c r="C202" s="18">
        <f>+'Vigilante 12X36 Diurno Des'!D107</f>
        <v>0</v>
      </c>
    </row>
    <row r="203" spans="1:3">
      <c r="A203" s="83" t="s">
        <v>92</v>
      </c>
      <c r="B203" s="87"/>
      <c r="C203" s="18">
        <f>+'Vigilante 12X36 Diurno Des'!D108</f>
        <v>0</v>
      </c>
    </row>
    <row r="204" spans="1:3">
      <c r="A204" s="83" t="s">
        <v>70</v>
      </c>
      <c r="B204" s="87"/>
      <c r="C204" s="18">
        <f>+'Vigilante 12X36 Diurno Des'!D79</f>
        <v>0</v>
      </c>
    </row>
    <row r="205" spans="1:3">
      <c r="A205" s="83" t="s">
        <v>193</v>
      </c>
      <c r="B205" s="87"/>
      <c r="C205" s="18">
        <f>SUM(C199:C204)</f>
        <v>0</v>
      </c>
    </row>
    <row r="206" spans="1:3">
      <c r="A206" s="83" t="s">
        <v>102</v>
      </c>
      <c r="B206" s="84">
        <v>220</v>
      </c>
      <c r="C206" s="85"/>
    </row>
    <row r="207" spans="1:3">
      <c r="A207" s="83" t="s">
        <v>103</v>
      </c>
      <c r="B207" s="87"/>
      <c r="C207" s="18">
        <f>ROUND(C205/B206,2)</f>
        <v>0</v>
      </c>
    </row>
    <row r="208" spans="1:3">
      <c r="A208" s="6" t="s">
        <v>104</v>
      </c>
      <c r="B208" s="51">
        <f>(365.25/12/2)/(7/7)</f>
        <v>15.21875</v>
      </c>
      <c r="C208" s="58"/>
    </row>
    <row r="209" spans="1:3">
      <c r="A209" s="431" t="s">
        <v>106</v>
      </c>
      <c r="B209" s="432"/>
      <c r="C209" s="71">
        <f>ROUND(+B208*C207,2)</f>
        <v>0</v>
      </c>
    </row>
    <row r="211" spans="1:3">
      <c r="A211" s="422" t="s">
        <v>277</v>
      </c>
      <c r="B211" s="422"/>
      <c r="C211" s="422"/>
    </row>
    <row r="212" spans="1:3">
      <c r="A212" s="423" t="s">
        <v>282</v>
      </c>
      <c r="B212" s="424"/>
      <c r="C212" s="425"/>
    </row>
    <row r="213" spans="1:3">
      <c r="A213" s="6" t="s">
        <v>263</v>
      </c>
      <c r="B213" s="18">
        <f>+$B$7</f>
        <v>0</v>
      </c>
      <c r="C213" s="52"/>
    </row>
    <row r="214" spans="1:3">
      <c r="A214" s="6" t="s">
        <v>281</v>
      </c>
      <c r="B214" s="18">
        <f>+B213*(1/3)</f>
        <v>0</v>
      </c>
      <c r="C214" s="52"/>
    </row>
    <row r="215" spans="1:3">
      <c r="A215" s="104" t="s">
        <v>248</v>
      </c>
      <c r="B215" s="105">
        <f>SUM(B213:B214)</f>
        <v>0</v>
      </c>
      <c r="C215" s="52"/>
    </row>
    <row r="216" spans="1:3">
      <c r="A216" s="6" t="s">
        <v>278</v>
      </c>
      <c r="B216" s="6">
        <v>4</v>
      </c>
      <c r="C216" s="52"/>
    </row>
    <row r="217" spans="1:3">
      <c r="A217" s="6" t="s">
        <v>264</v>
      </c>
      <c r="B217" s="6">
        <v>12</v>
      </c>
      <c r="C217" s="52"/>
    </row>
    <row r="218" spans="1:3">
      <c r="A218" s="116" t="s">
        <v>279</v>
      </c>
      <c r="B218" s="114"/>
      <c r="C218" s="52"/>
    </row>
    <row r="219" spans="1:3">
      <c r="A219" s="116" t="s">
        <v>280</v>
      </c>
      <c r="B219" s="114"/>
      <c r="C219" s="52"/>
    </row>
    <row r="220" spans="1:3">
      <c r="A220" s="379" t="s">
        <v>283</v>
      </c>
      <c r="B220" s="379"/>
      <c r="C220" s="45">
        <f>ROUND((((+B215*(B216/B217)/B217)*B218)*B219),2)</f>
        <v>0</v>
      </c>
    </row>
    <row r="221" spans="1:3">
      <c r="A221" s="379" t="s">
        <v>284</v>
      </c>
      <c r="B221" s="379"/>
      <c r="C221" s="379"/>
    </row>
    <row r="222" spans="1:3">
      <c r="A222" s="6" t="s">
        <v>263</v>
      </c>
      <c r="B222" s="18">
        <f>+'Vigilante 12X36 Diurno Des'!D23</f>
        <v>0</v>
      </c>
      <c r="C222" s="52"/>
    </row>
    <row r="223" spans="1:3">
      <c r="A223" s="6" t="s">
        <v>46</v>
      </c>
      <c r="B223" s="18">
        <f>+'Vigilante 12X36 Diurno Des'!D29</f>
        <v>0</v>
      </c>
      <c r="C223" s="52"/>
    </row>
    <row r="224" spans="1:3">
      <c r="A224" s="104" t="s">
        <v>248</v>
      </c>
      <c r="B224" s="105">
        <f>SUM(B222:B223)</f>
        <v>0</v>
      </c>
      <c r="C224" s="52"/>
    </row>
    <row r="225" spans="1:3">
      <c r="A225" s="6" t="s">
        <v>278</v>
      </c>
      <c r="B225" s="6">
        <v>4</v>
      </c>
      <c r="C225" s="52"/>
    </row>
    <row r="226" spans="1:3">
      <c r="A226" s="6" t="s">
        <v>264</v>
      </c>
      <c r="B226" s="6">
        <v>12</v>
      </c>
      <c r="C226" s="52"/>
    </row>
    <row r="227" spans="1:3">
      <c r="A227" s="116" t="s">
        <v>279</v>
      </c>
      <c r="B227" s="114"/>
      <c r="C227" s="52"/>
    </row>
    <row r="228" spans="1:3">
      <c r="A228" s="116" t="s">
        <v>280</v>
      </c>
      <c r="B228" s="114"/>
      <c r="C228" s="52"/>
    </row>
    <row r="229" spans="1:3">
      <c r="A229" s="34" t="s">
        <v>285</v>
      </c>
      <c r="B229" s="17">
        <f>+'Vigilante 12X36 Diurno Des'!C45</f>
        <v>0.36800000000000005</v>
      </c>
      <c r="C229" s="52"/>
    </row>
    <row r="230" spans="1:3">
      <c r="A230" s="379" t="s">
        <v>286</v>
      </c>
      <c r="B230" s="379"/>
      <c r="C230" s="71">
        <f>ROUND((((B224*(B225/B226)*B227)*B228)*B229),2)</f>
        <v>0</v>
      </c>
    </row>
  </sheetData>
  <mergeCells count="44">
    <mergeCell ref="A221:C221"/>
    <mergeCell ref="A230:B230"/>
    <mergeCell ref="A196:B196"/>
    <mergeCell ref="A198:C198"/>
    <mergeCell ref="A209:B209"/>
    <mergeCell ref="A211:C211"/>
    <mergeCell ref="A212:C212"/>
    <mergeCell ref="A220:B220"/>
    <mergeCell ref="A190:C190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46:C146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00:C100"/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</mergeCells>
  <pageMargins left="0.85" right="0.17" top="0.78740157480314965" bottom="0.78740157480314965" header="0.31496062992125984" footer="0.31496062992125984"/>
  <pageSetup paperSize="9" scale="90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F187"/>
  <sheetViews>
    <sheetView workbookViewId="0">
      <selection activeCell="A19" sqref="A19"/>
    </sheetView>
  </sheetViews>
  <sheetFormatPr defaultRowHeight="12.75"/>
  <cols>
    <col min="1" max="1" width="5.625" customWidth="1"/>
    <col min="2" max="2" width="50.5" customWidth="1"/>
    <col min="3" max="3" width="9.375" bestFit="1" customWidth="1"/>
    <col min="4" max="4" width="15.625" customWidth="1"/>
    <col min="5" max="5" width="11.75" bestFit="1" customWidth="1"/>
  </cols>
  <sheetData>
    <row r="1" spans="1:6">
      <c r="A1" s="326" t="s">
        <v>211</v>
      </c>
      <c r="B1" s="327"/>
      <c r="C1" s="327"/>
      <c r="D1" s="328"/>
      <c r="E1" s="3"/>
      <c r="F1" s="3"/>
    </row>
    <row r="5" spans="1:6">
      <c r="A5" s="388" t="s">
        <v>16</v>
      </c>
      <c r="B5" s="389"/>
      <c r="C5" s="389"/>
      <c r="D5" s="420"/>
    </row>
    <row r="6" spans="1:6" s="1" customFormat="1" ht="24.75" customHeight="1">
      <c r="A6" s="168">
        <v>1</v>
      </c>
      <c r="B6" s="167" t="s">
        <v>17</v>
      </c>
      <c r="C6" s="455" t="s">
        <v>354</v>
      </c>
      <c r="D6" s="456"/>
    </row>
    <row r="7" spans="1:6" s="1" customFormat="1">
      <c r="A7" s="168">
        <v>2</v>
      </c>
      <c r="B7" s="167" t="s">
        <v>18</v>
      </c>
      <c r="C7" s="457" t="s">
        <v>295</v>
      </c>
      <c r="D7" s="458"/>
    </row>
    <row r="8" spans="1:6" s="1" customFormat="1">
      <c r="A8" s="168">
        <v>3</v>
      </c>
      <c r="B8" s="167" t="s">
        <v>19</v>
      </c>
      <c r="C8" s="401"/>
      <c r="D8" s="401"/>
    </row>
    <row r="9" spans="1:6" s="1" customFormat="1" ht="42.75" customHeight="1">
      <c r="A9" s="168">
        <v>4</v>
      </c>
      <c r="B9" s="167" t="s">
        <v>21</v>
      </c>
      <c r="C9" s="459" t="s">
        <v>296</v>
      </c>
      <c r="D9" s="460"/>
    </row>
    <row r="10" spans="1:6" s="1" customFormat="1">
      <c r="A10" s="168">
        <v>5</v>
      </c>
      <c r="B10" s="167" t="s">
        <v>20</v>
      </c>
      <c r="C10" s="461">
        <v>42795</v>
      </c>
      <c r="D10" s="462"/>
    </row>
    <row r="11" spans="1:6">
      <c r="D11" s="197"/>
    </row>
    <row r="12" spans="1:6">
      <c r="A12" s="409" t="s">
        <v>22</v>
      </c>
      <c r="B12" s="409"/>
      <c r="C12" s="409"/>
      <c r="D12" s="409"/>
    </row>
    <row r="13" spans="1:6">
      <c r="A13" s="131" t="s">
        <v>297</v>
      </c>
      <c r="B13" s="94" t="s">
        <v>23</v>
      </c>
      <c r="C13" s="151" t="s">
        <v>50</v>
      </c>
      <c r="D13" s="5" t="s">
        <v>24</v>
      </c>
    </row>
    <row r="14" spans="1:6">
      <c r="A14" s="152" t="s">
        <v>3</v>
      </c>
      <c r="B14" s="323" t="s">
        <v>30</v>
      </c>
      <c r="C14" s="323"/>
      <c r="D14" s="7">
        <f>+C8</f>
        <v>0</v>
      </c>
    </row>
    <row r="15" spans="1:6">
      <c r="A15" s="152" t="s">
        <v>4</v>
      </c>
      <c r="B15" s="89" t="s">
        <v>31</v>
      </c>
      <c r="C15" s="95">
        <v>0.3</v>
      </c>
      <c r="D15" s="7">
        <f>+C15*D14</f>
        <v>0</v>
      </c>
      <c r="E15" s="88"/>
    </row>
    <row r="16" spans="1:6">
      <c r="A16" s="152" t="s">
        <v>5</v>
      </c>
      <c r="B16" s="89" t="s">
        <v>32</v>
      </c>
      <c r="C16" s="95"/>
      <c r="D16" s="7"/>
    </row>
    <row r="17" spans="1:6">
      <c r="A17" s="152" t="s">
        <v>6</v>
      </c>
      <c r="B17" s="323" t="s">
        <v>33</v>
      </c>
      <c r="C17" s="323"/>
      <c r="D17" s="7">
        <f>+'Calculo 12 36 Not Des'!C66</f>
        <v>0</v>
      </c>
    </row>
    <row r="18" spans="1:6">
      <c r="A18" s="152" t="s">
        <v>25</v>
      </c>
      <c r="B18" s="323" t="s">
        <v>34</v>
      </c>
      <c r="C18" s="323"/>
      <c r="D18" s="7">
        <f>+'Calculo 12 36 Not Des'!C98</f>
        <v>0</v>
      </c>
    </row>
    <row r="19" spans="1:6">
      <c r="A19" s="152" t="s">
        <v>26</v>
      </c>
      <c r="B19" s="412" t="s">
        <v>231</v>
      </c>
      <c r="C19" s="413"/>
      <c r="D19" s="7"/>
    </row>
    <row r="20" spans="1:6">
      <c r="A20" s="152" t="s">
        <v>27</v>
      </c>
      <c r="B20" s="323" t="s">
        <v>35</v>
      </c>
      <c r="C20" s="323"/>
      <c r="D20" s="7"/>
    </row>
    <row r="21" spans="1:6">
      <c r="A21" s="152" t="s">
        <v>28</v>
      </c>
      <c r="B21" s="412" t="s">
        <v>195</v>
      </c>
      <c r="C21" s="413"/>
      <c r="D21" s="93"/>
    </row>
    <row r="22" spans="1:6">
      <c r="A22" s="152" t="s">
        <v>64</v>
      </c>
      <c r="B22" s="89" t="s">
        <v>65</v>
      </c>
      <c r="C22" s="95"/>
      <c r="D22" s="7"/>
    </row>
    <row r="23" spans="1:6">
      <c r="A23" s="152" t="s">
        <v>194</v>
      </c>
      <c r="B23" s="323" t="s">
        <v>95</v>
      </c>
      <c r="C23" s="323"/>
      <c r="D23" s="8"/>
      <c r="F23" s="98"/>
    </row>
    <row r="24" spans="1:6">
      <c r="A24" s="152" t="s">
        <v>196</v>
      </c>
      <c r="B24" s="323" t="s">
        <v>36</v>
      </c>
      <c r="C24" s="323"/>
      <c r="D24" s="8"/>
    </row>
    <row r="25" spans="1:6">
      <c r="A25" s="380" t="s">
        <v>29</v>
      </c>
      <c r="B25" s="380"/>
      <c r="C25" s="380"/>
      <c r="D25" s="9">
        <f>SUM(D14:D24)</f>
        <v>0</v>
      </c>
    </row>
    <row r="27" spans="1:6">
      <c r="A27" s="409" t="s">
        <v>37</v>
      </c>
      <c r="B27" s="409"/>
      <c r="C27" s="409"/>
      <c r="D27" s="409"/>
    </row>
    <row r="29" spans="1:6">
      <c r="A29" s="388" t="s">
        <v>38</v>
      </c>
      <c r="B29" s="389"/>
      <c r="C29" s="389"/>
      <c r="D29" s="389"/>
    </row>
    <row r="30" spans="1:6">
      <c r="A30" s="19" t="s">
        <v>39</v>
      </c>
      <c r="B30" s="14" t="s">
        <v>40</v>
      </c>
      <c r="C30" s="22" t="s">
        <v>50</v>
      </c>
      <c r="D30" s="20" t="s">
        <v>24</v>
      </c>
    </row>
    <row r="31" spans="1:6">
      <c r="A31" s="152" t="s">
        <v>3</v>
      </c>
      <c r="B31" s="6" t="s">
        <v>46</v>
      </c>
      <c r="C31" s="29" t="e">
        <f>ROUND(+D31/$D$25,4)</f>
        <v>#DIV/0!</v>
      </c>
      <c r="D31" s="8">
        <f>ROUND(+D25/12,2)</f>
        <v>0</v>
      </c>
    </row>
    <row r="32" spans="1:6">
      <c r="A32" s="28" t="s">
        <v>4</v>
      </c>
      <c r="B32" s="37" t="s">
        <v>43</v>
      </c>
      <c r="C32" s="38" t="e">
        <f>ROUND(+D32/$D$25,4)</f>
        <v>#DIV/0!</v>
      </c>
      <c r="D32" s="39">
        <f>+D33+D34</f>
        <v>0</v>
      </c>
    </row>
    <row r="33" spans="1:4">
      <c r="A33" s="152" t="s">
        <v>41</v>
      </c>
      <c r="B33" s="35" t="s">
        <v>45</v>
      </c>
      <c r="C33" s="40" t="e">
        <f>ROUND(+D33/$D$25,4)</f>
        <v>#DIV/0!</v>
      </c>
      <c r="D33" s="36">
        <f>ROUND(+D25/12,2)</f>
        <v>0</v>
      </c>
    </row>
    <row r="34" spans="1:4">
      <c r="A34" s="152" t="s">
        <v>42</v>
      </c>
      <c r="B34" s="35" t="s">
        <v>44</v>
      </c>
      <c r="C34" s="40" t="e">
        <f>ROUND(+D34/$D$25,4)</f>
        <v>#DIV/0!</v>
      </c>
      <c r="D34" s="36">
        <f>ROUND(+(D25*1/3)/12,2)</f>
        <v>0</v>
      </c>
    </row>
    <row r="35" spans="1:4">
      <c r="A35" s="380" t="s">
        <v>29</v>
      </c>
      <c r="B35" s="380"/>
      <c r="C35" s="380"/>
      <c r="D35" s="9">
        <f>+D32+D31</f>
        <v>0</v>
      </c>
    </row>
    <row r="37" spans="1:4">
      <c r="A37" s="404" t="s">
        <v>47</v>
      </c>
      <c r="B37" s="404"/>
      <c r="C37" s="404"/>
      <c r="D37" s="404"/>
    </row>
    <row r="38" spans="1:4">
      <c r="A38" s="19" t="s">
        <v>48</v>
      </c>
      <c r="B38" s="21" t="s">
        <v>49</v>
      </c>
      <c r="C38" s="22" t="s">
        <v>50</v>
      </c>
      <c r="D38" s="20" t="s">
        <v>24</v>
      </c>
    </row>
    <row r="39" spans="1:4">
      <c r="A39" s="152" t="s">
        <v>3</v>
      </c>
      <c r="B39" s="6" t="s">
        <v>51</v>
      </c>
      <c r="C39" s="17">
        <v>0.2</v>
      </c>
      <c r="D39" s="18">
        <f>ROUND(C39*($D$25+$D$35),2)</f>
        <v>0</v>
      </c>
    </row>
    <row r="40" spans="1:4">
      <c r="A40" s="152" t="s">
        <v>4</v>
      </c>
      <c r="B40" s="6" t="s">
        <v>52</v>
      </c>
      <c r="C40" s="17">
        <v>2.5000000000000001E-2</v>
      </c>
      <c r="D40" s="18">
        <f t="shared" ref="D40:D45" si="0">ROUND(C40*($D$25+$D$35),2)</f>
        <v>0</v>
      </c>
    </row>
    <row r="41" spans="1:4">
      <c r="A41" s="152" t="s">
        <v>5</v>
      </c>
      <c r="B41" s="6" t="s">
        <v>58</v>
      </c>
      <c r="C41" s="17">
        <f>3%</f>
        <v>0.03</v>
      </c>
      <c r="D41" s="18">
        <f t="shared" si="0"/>
        <v>0</v>
      </c>
    </row>
    <row r="42" spans="1:4">
      <c r="A42" s="152" t="s">
        <v>6</v>
      </c>
      <c r="B42" s="6" t="s">
        <v>53</v>
      </c>
      <c r="C42" s="17">
        <v>1.4999999999999999E-2</v>
      </c>
      <c r="D42" s="18">
        <f t="shared" si="0"/>
        <v>0</v>
      </c>
    </row>
    <row r="43" spans="1:4">
      <c r="A43" s="152" t="s">
        <v>25</v>
      </c>
      <c r="B43" s="6" t="s">
        <v>54</v>
      </c>
      <c r="C43" s="17">
        <v>0.01</v>
      </c>
      <c r="D43" s="18">
        <f t="shared" si="0"/>
        <v>0</v>
      </c>
    </row>
    <row r="44" spans="1:4">
      <c r="A44" s="152" t="s">
        <v>26</v>
      </c>
      <c r="B44" s="6" t="s">
        <v>55</v>
      </c>
      <c r="C44" s="17">
        <v>6.0000000000000001E-3</v>
      </c>
      <c r="D44" s="18">
        <f t="shared" si="0"/>
        <v>0</v>
      </c>
    </row>
    <row r="45" spans="1:4">
      <c r="A45" s="152" t="s">
        <v>27</v>
      </c>
      <c r="B45" s="6" t="s">
        <v>56</v>
      </c>
      <c r="C45" s="17">
        <v>2E-3</v>
      </c>
      <c r="D45" s="18">
        <f t="shared" si="0"/>
        <v>0</v>
      </c>
    </row>
    <row r="46" spans="1:4">
      <c r="A46" s="152" t="s">
        <v>28</v>
      </c>
      <c r="B46" s="6" t="s">
        <v>57</v>
      </c>
      <c r="C46" s="17">
        <v>0.08</v>
      </c>
      <c r="D46" s="18">
        <f>ROUND(C46*($D$25+$D$35),2)</f>
        <v>0</v>
      </c>
    </row>
    <row r="47" spans="1:4">
      <c r="A47" s="153" t="s">
        <v>29</v>
      </c>
      <c r="B47" s="154"/>
      <c r="C47" s="41">
        <f>SUM(C39:C46)</f>
        <v>0.36800000000000005</v>
      </c>
      <c r="D47" s="42">
        <f>SUM(D39:D46)</f>
        <v>0</v>
      </c>
    </row>
    <row r="48" spans="1:4">
      <c r="A48" s="43"/>
      <c r="B48" s="43"/>
      <c r="C48" s="43"/>
      <c r="D48" s="43"/>
    </row>
    <row r="49" spans="1:6" ht="12.75" customHeight="1">
      <c r="A49" s="404" t="s">
        <v>59</v>
      </c>
      <c r="B49" s="404"/>
      <c r="C49" s="404"/>
      <c r="D49" s="404"/>
    </row>
    <row r="50" spans="1:6">
      <c r="A50" s="19" t="s">
        <v>60</v>
      </c>
      <c r="B50" s="21" t="s">
        <v>61</v>
      </c>
      <c r="C50" s="22"/>
      <c r="D50" s="20" t="s">
        <v>24</v>
      </c>
    </row>
    <row r="51" spans="1:6">
      <c r="A51" s="107" t="s">
        <v>3</v>
      </c>
      <c r="B51" s="6" t="s">
        <v>62</v>
      </c>
      <c r="C51" s="54"/>
      <c r="D51" s="18">
        <f>+'Calculo 12 36 Not Des'!C107</f>
        <v>0</v>
      </c>
    </row>
    <row r="52" spans="1:6" s="60" customFormat="1">
      <c r="A52" s="75" t="s">
        <v>177</v>
      </c>
      <c r="B52" s="34" t="s">
        <v>178</v>
      </c>
      <c r="C52" s="29">
        <f>+$C$137+$C$138</f>
        <v>3.6499999999999998E-2</v>
      </c>
      <c r="D52" s="77">
        <f>+(C52*D51)*-1</f>
        <v>0</v>
      </c>
      <c r="F52" s="76"/>
    </row>
    <row r="53" spans="1:6">
      <c r="A53" s="107" t="s">
        <v>4</v>
      </c>
      <c r="B53" s="6" t="s">
        <v>63</v>
      </c>
      <c r="C53" s="54"/>
      <c r="D53" s="18">
        <f>+'Calculo 12 36 Not Des'!C116</f>
        <v>0</v>
      </c>
      <c r="F53" s="61"/>
    </row>
    <row r="54" spans="1:6" s="60" customFormat="1">
      <c r="A54" s="75" t="s">
        <v>41</v>
      </c>
      <c r="B54" s="34" t="s">
        <v>178</v>
      </c>
      <c r="C54" s="29">
        <f>+$C$137+$C$138</f>
        <v>3.6499999999999998E-2</v>
      </c>
      <c r="D54" s="77">
        <f>+(C54*D53)*-1</f>
        <v>0</v>
      </c>
      <c r="F54" s="78"/>
    </row>
    <row r="55" spans="1:6">
      <c r="A55" s="6" t="s">
        <v>5</v>
      </c>
      <c r="B55" s="6" t="s">
        <v>66</v>
      </c>
      <c r="C55" s="54"/>
      <c r="D55" s="18"/>
      <c r="F55" s="61"/>
    </row>
    <row r="56" spans="1:6">
      <c r="A56" s="75" t="s">
        <v>161</v>
      </c>
      <c r="B56" s="34" t="s">
        <v>178</v>
      </c>
      <c r="C56" s="29">
        <f>+$C$137+$C$138</f>
        <v>3.6499999999999998E-2</v>
      </c>
      <c r="D56" s="77">
        <f>+(C56*D55)*-1</f>
        <v>0</v>
      </c>
      <c r="F56" s="61"/>
    </row>
    <row r="57" spans="1:6">
      <c r="A57" s="116" t="s">
        <v>6</v>
      </c>
      <c r="B57" s="116" t="s">
        <v>389</v>
      </c>
      <c r="C57" s="54"/>
      <c r="D57" s="301"/>
      <c r="F57" s="61"/>
    </row>
    <row r="58" spans="1:6">
      <c r="A58" s="75" t="s">
        <v>179</v>
      </c>
      <c r="B58" s="34" t="s">
        <v>178</v>
      </c>
      <c r="C58" s="29">
        <f>+$C$137+$C$138</f>
        <v>3.6499999999999998E-2</v>
      </c>
      <c r="D58" s="77">
        <f>+(C58*D57)*-1</f>
        <v>0</v>
      </c>
      <c r="F58" s="61"/>
    </row>
    <row r="59" spans="1:6">
      <c r="A59" s="116" t="s">
        <v>25</v>
      </c>
      <c r="B59" s="116" t="s">
        <v>396</v>
      </c>
      <c r="C59" s="54"/>
      <c r="D59" s="302"/>
      <c r="F59" s="130"/>
    </row>
    <row r="60" spans="1:6">
      <c r="A60" s="75" t="s">
        <v>180</v>
      </c>
      <c r="B60" s="34" t="s">
        <v>178</v>
      </c>
      <c r="C60" s="29">
        <f>+$C$137+$C$138</f>
        <v>3.6499999999999998E-2</v>
      </c>
      <c r="D60" s="77">
        <f>+(C60*D59)*-1</f>
        <v>0</v>
      </c>
    </row>
    <row r="61" spans="1:6">
      <c r="A61" s="116" t="s">
        <v>26</v>
      </c>
      <c r="B61" s="416" t="s">
        <v>293</v>
      </c>
      <c r="C61" s="416"/>
      <c r="D61" s="301"/>
    </row>
    <row r="62" spans="1:6">
      <c r="A62" s="75" t="s">
        <v>81</v>
      </c>
      <c r="B62" s="34" t="s">
        <v>178</v>
      </c>
      <c r="C62" s="29">
        <f>+$C$137+$C$138</f>
        <v>3.6499999999999998E-2</v>
      </c>
      <c r="D62" s="77">
        <f>+(C62*D61)*-1</f>
        <v>0</v>
      </c>
    </row>
    <row r="63" spans="1:6">
      <c r="A63" s="373" t="s">
        <v>29</v>
      </c>
      <c r="B63" s="390"/>
      <c r="C63" s="16"/>
      <c r="D63" s="129">
        <f>SUM(D51:D62)</f>
        <v>0</v>
      </c>
    </row>
    <row r="65" spans="1:4">
      <c r="A65" s="409" t="s">
        <v>67</v>
      </c>
      <c r="B65" s="409"/>
      <c r="C65" s="409"/>
      <c r="D65" s="409"/>
    </row>
    <row r="66" spans="1:4">
      <c r="A66" s="24">
        <v>2</v>
      </c>
      <c r="B66" s="409" t="s">
        <v>68</v>
      </c>
      <c r="C66" s="409"/>
      <c r="D66" s="157" t="s">
        <v>24</v>
      </c>
    </row>
    <row r="67" spans="1:4">
      <c r="A67" s="25" t="s">
        <v>39</v>
      </c>
      <c r="B67" s="421" t="s">
        <v>40</v>
      </c>
      <c r="C67" s="421"/>
      <c r="D67" s="18">
        <f>+D35</f>
        <v>0</v>
      </c>
    </row>
    <row r="68" spans="1:4">
      <c r="A68" s="25" t="s">
        <v>48</v>
      </c>
      <c r="B68" s="421" t="s">
        <v>49</v>
      </c>
      <c r="C68" s="421"/>
      <c r="D68" s="18">
        <f>+D47</f>
        <v>0</v>
      </c>
    </row>
    <row r="69" spans="1:4">
      <c r="A69" s="25" t="s">
        <v>60</v>
      </c>
      <c r="B69" s="421" t="s">
        <v>61</v>
      </c>
      <c r="C69" s="421"/>
      <c r="D69" s="68">
        <f>+D63</f>
        <v>0</v>
      </c>
    </row>
    <row r="70" spans="1:4">
      <c r="A70" s="409" t="s">
        <v>29</v>
      </c>
      <c r="B70" s="409"/>
      <c r="C70" s="409"/>
      <c r="D70" s="26">
        <f>SUM(D67:D69)</f>
        <v>0</v>
      </c>
    </row>
    <row r="72" spans="1:4">
      <c r="A72" s="409" t="s">
        <v>69</v>
      </c>
      <c r="B72" s="409"/>
      <c r="C72" s="409"/>
      <c r="D72" s="409"/>
    </row>
    <row r="74" spans="1:4">
      <c r="A74" s="13">
        <v>3</v>
      </c>
      <c r="B74" s="14" t="s">
        <v>70</v>
      </c>
      <c r="C74" s="151" t="s">
        <v>50</v>
      </c>
      <c r="D74" s="151" t="s">
        <v>24</v>
      </c>
    </row>
    <row r="75" spans="1:4">
      <c r="A75" s="152" t="s">
        <v>3</v>
      </c>
      <c r="B75" s="34" t="s">
        <v>72</v>
      </c>
      <c r="C75" s="29" t="e">
        <f>+D75/$D$25</f>
        <v>#DIV/0!</v>
      </c>
      <c r="D75" s="118">
        <f>+'Calculo 12 36 Not Des'!C122</f>
        <v>0</v>
      </c>
    </row>
    <row r="76" spans="1:4">
      <c r="A76" s="152" t="s">
        <v>4</v>
      </c>
      <c r="B76" s="6" t="s">
        <v>73</v>
      </c>
      <c r="C76" s="52"/>
      <c r="D76" s="8">
        <f>ROUND(+D75*$C$46,2)</f>
        <v>0</v>
      </c>
    </row>
    <row r="77" spans="1:4" ht="25.5">
      <c r="A77" s="152" t="s">
        <v>5</v>
      </c>
      <c r="B77" s="30" t="s">
        <v>75</v>
      </c>
      <c r="C77" s="17" t="e">
        <f>+D77/$D$25</f>
        <v>#DIV/0!</v>
      </c>
      <c r="D77" s="8">
        <f>+'Calculo 12 36 Not Des'!C136</f>
        <v>0</v>
      </c>
    </row>
    <row r="78" spans="1:4">
      <c r="A78" s="108" t="s">
        <v>6</v>
      </c>
      <c r="B78" s="6" t="s">
        <v>71</v>
      </c>
      <c r="C78" s="17" t="e">
        <f>+D78/$D$25</f>
        <v>#DIV/0!</v>
      </c>
      <c r="D78" s="8">
        <f>+'Calculo 12 36 Not Des'!C144</f>
        <v>0</v>
      </c>
    </row>
    <row r="79" spans="1:4" ht="25.5">
      <c r="A79" s="108" t="s">
        <v>25</v>
      </c>
      <c r="B79" s="30" t="s">
        <v>74</v>
      </c>
      <c r="C79" s="52"/>
      <c r="D79" s="8">
        <f>+D78*C47</f>
        <v>0</v>
      </c>
    </row>
    <row r="80" spans="1:4" ht="25.5">
      <c r="A80" s="108" t="s">
        <v>26</v>
      </c>
      <c r="B80" s="30" t="s">
        <v>76</v>
      </c>
      <c r="C80" s="17" t="e">
        <f>+D80/$D$25</f>
        <v>#DIV/0!</v>
      </c>
      <c r="D80" s="18">
        <f>+'Calculo 12 36 Not Des'!C158</f>
        <v>0</v>
      </c>
    </row>
    <row r="81" spans="1:4">
      <c r="A81" s="373" t="s">
        <v>29</v>
      </c>
      <c r="B81" s="374"/>
      <c r="C81" s="390"/>
      <c r="D81" s="32">
        <f>SUM(D75:D80)</f>
        <v>0</v>
      </c>
    </row>
    <row r="83" spans="1:4">
      <c r="A83" s="409" t="s">
        <v>84</v>
      </c>
      <c r="B83" s="409"/>
      <c r="C83" s="409"/>
      <c r="D83" s="409"/>
    </row>
    <row r="85" spans="1:4">
      <c r="A85" s="404" t="s">
        <v>87</v>
      </c>
      <c r="B85" s="404"/>
      <c r="C85" s="404"/>
      <c r="D85" s="404"/>
    </row>
    <row r="86" spans="1:4">
      <c r="A86" s="13" t="s">
        <v>85</v>
      </c>
      <c r="B86" s="373" t="s">
        <v>86</v>
      </c>
      <c r="C86" s="390"/>
      <c r="D86" s="151" t="s">
        <v>24</v>
      </c>
    </row>
    <row r="87" spans="1:4">
      <c r="A87" s="6" t="s">
        <v>3</v>
      </c>
      <c r="B87" s="377" t="s">
        <v>88</v>
      </c>
      <c r="C87" s="378"/>
      <c r="D87" s="8"/>
    </row>
    <row r="88" spans="1:4">
      <c r="A88" s="34" t="s">
        <v>4</v>
      </c>
      <c r="B88" s="396" t="s">
        <v>86</v>
      </c>
      <c r="C88" s="397"/>
      <c r="D88" s="120">
        <f>+'Calculo 12 36 Not Des'!C171</f>
        <v>0</v>
      </c>
    </row>
    <row r="89" spans="1:4" s="60" customFormat="1">
      <c r="A89" s="34" t="s">
        <v>5</v>
      </c>
      <c r="B89" s="396" t="s">
        <v>89</v>
      </c>
      <c r="C89" s="397"/>
      <c r="D89" s="120">
        <f>+'Calculo 12 36 Not Des'!C180</f>
        <v>0</v>
      </c>
    </row>
    <row r="90" spans="1:4" s="60" customFormat="1">
      <c r="A90" s="34" t="s">
        <v>6</v>
      </c>
      <c r="B90" s="396" t="s">
        <v>90</v>
      </c>
      <c r="C90" s="397"/>
      <c r="D90" s="120">
        <f>+'Calculo 12 36 Not Des'!C188</f>
        <v>0</v>
      </c>
    </row>
    <row r="91" spans="1:4" s="60" customFormat="1" ht="13.5">
      <c r="A91" s="34" t="s">
        <v>25</v>
      </c>
      <c r="B91" s="396" t="s">
        <v>287</v>
      </c>
      <c r="C91" s="397"/>
      <c r="D91" s="120"/>
    </row>
    <row r="92" spans="1:4" s="60" customFormat="1">
      <c r="A92" s="34" t="s">
        <v>26</v>
      </c>
      <c r="B92" s="396" t="s">
        <v>93</v>
      </c>
      <c r="C92" s="397"/>
      <c r="D92" s="120">
        <f>+'Calculo 12 36 Not Des'!C196</f>
        <v>0</v>
      </c>
    </row>
    <row r="93" spans="1:4">
      <c r="A93" s="6" t="s">
        <v>27</v>
      </c>
      <c r="B93" s="377" t="s">
        <v>36</v>
      </c>
      <c r="C93" s="378"/>
      <c r="D93" s="8"/>
    </row>
    <row r="94" spans="1:4">
      <c r="A94" s="6" t="s">
        <v>28</v>
      </c>
      <c r="B94" s="377" t="s">
        <v>94</v>
      </c>
      <c r="C94" s="378"/>
      <c r="D94" s="8">
        <f>ROUND((D88+D89+D90+D87+D91+D92+D93)*C47,2)</f>
        <v>0</v>
      </c>
    </row>
    <row r="95" spans="1:4">
      <c r="A95" s="380" t="s">
        <v>29</v>
      </c>
      <c r="B95" s="380"/>
      <c r="C95" s="380"/>
      <c r="D95" s="9">
        <f>SUM(D87:D94)</f>
        <v>0</v>
      </c>
    </row>
    <row r="96" spans="1:4">
      <c r="D96" s="15"/>
    </row>
    <row r="97" spans="1:4">
      <c r="A97" s="13" t="s">
        <v>99</v>
      </c>
      <c r="B97" s="373" t="s">
        <v>92</v>
      </c>
      <c r="C97" s="390"/>
      <c r="D97" s="151" t="s">
        <v>24</v>
      </c>
    </row>
    <row r="98" spans="1:4" s="60" customFormat="1">
      <c r="A98" s="34" t="s">
        <v>3</v>
      </c>
      <c r="B98" s="407" t="s">
        <v>96</v>
      </c>
      <c r="C98" s="408"/>
      <c r="D98" s="120">
        <f>+'Calculo 12 36 Not Des'!C220</f>
        <v>0</v>
      </c>
    </row>
    <row r="99" spans="1:4" s="60" customFormat="1">
      <c r="A99" s="34" t="s">
        <v>4</v>
      </c>
      <c r="B99" s="391" t="s">
        <v>98</v>
      </c>
      <c r="C99" s="392"/>
      <c r="D99" s="120">
        <f>ROUND(D98*C47,2)</f>
        <v>0</v>
      </c>
    </row>
    <row r="100" spans="1:4" s="60" customFormat="1">
      <c r="A100" s="34" t="s">
        <v>5</v>
      </c>
      <c r="B100" s="391" t="s">
        <v>97</v>
      </c>
      <c r="C100" s="392"/>
      <c r="D100" s="120">
        <f>+'Calculo 12 36 Not Des'!C230</f>
        <v>0</v>
      </c>
    </row>
    <row r="101" spans="1:4">
      <c r="A101" s="6" t="s">
        <v>6</v>
      </c>
      <c r="B101" s="377" t="s">
        <v>36</v>
      </c>
      <c r="C101" s="378"/>
      <c r="D101" s="8"/>
    </row>
    <row r="102" spans="1:4">
      <c r="A102" s="380" t="s">
        <v>29</v>
      </c>
      <c r="B102" s="380"/>
      <c r="C102" s="380"/>
      <c r="D102" s="9">
        <f>SUM(D98:D101)</f>
        <v>0</v>
      </c>
    </row>
    <row r="103" spans="1:4">
      <c r="D103" s="15"/>
    </row>
    <row r="104" spans="1:4">
      <c r="A104" s="13" t="s">
        <v>91</v>
      </c>
      <c r="B104" s="380" t="s">
        <v>100</v>
      </c>
      <c r="C104" s="380"/>
      <c r="D104" s="151" t="s">
        <v>24</v>
      </c>
    </row>
    <row r="105" spans="1:4" s="50" customFormat="1" ht="30" customHeight="1">
      <c r="A105" s="108" t="s">
        <v>3</v>
      </c>
      <c r="B105" s="393" t="s">
        <v>288</v>
      </c>
      <c r="C105" s="393"/>
      <c r="D105" s="49">
        <f>+'Calculo 12 36 Not Des'!C209</f>
        <v>0</v>
      </c>
    </row>
    <row r="106" spans="1:4">
      <c r="A106" s="380" t="s">
        <v>29</v>
      </c>
      <c r="B106" s="380"/>
      <c r="C106" s="380"/>
      <c r="D106" s="9">
        <f>SUM(D105:D105)</f>
        <v>0</v>
      </c>
    </row>
    <row r="108" spans="1:4">
      <c r="A108" s="156" t="s">
        <v>109</v>
      </c>
      <c r="B108" s="156"/>
      <c r="C108" s="156"/>
      <c r="D108" s="156"/>
    </row>
    <row r="109" spans="1:4">
      <c r="A109" s="6" t="s">
        <v>85</v>
      </c>
      <c r="B109" s="377" t="s">
        <v>86</v>
      </c>
      <c r="C109" s="378"/>
      <c r="D109" s="18">
        <f>+D95</f>
        <v>0</v>
      </c>
    </row>
    <row r="110" spans="1:4">
      <c r="A110" s="6" t="s">
        <v>99</v>
      </c>
      <c r="B110" s="377" t="s">
        <v>92</v>
      </c>
      <c r="C110" s="378"/>
      <c r="D110" s="18">
        <f>+D102</f>
        <v>0</v>
      </c>
    </row>
    <row r="111" spans="1:4">
      <c r="A111" s="74"/>
      <c r="B111" s="405" t="s">
        <v>110</v>
      </c>
      <c r="C111" s="406"/>
      <c r="D111" s="73">
        <f>+D110+D109</f>
        <v>0</v>
      </c>
    </row>
    <row r="112" spans="1:4">
      <c r="A112" s="6" t="s">
        <v>91</v>
      </c>
      <c r="B112" s="377" t="s">
        <v>100</v>
      </c>
      <c r="C112" s="378"/>
      <c r="D112" s="18">
        <f>+D106</f>
        <v>0</v>
      </c>
    </row>
    <row r="113" spans="1:4">
      <c r="A113" s="379" t="s">
        <v>29</v>
      </c>
      <c r="B113" s="379"/>
      <c r="C113" s="379"/>
      <c r="D113" s="71">
        <f>+D112+D111</f>
        <v>0</v>
      </c>
    </row>
    <row r="115" spans="1:4">
      <c r="A115" s="409" t="s">
        <v>151</v>
      </c>
      <c r="B115" s="409"/>
      <c r="C115" s="409"/>
      <c r="D115" s="409"/>
    </row>
    <row r="117" spans="1:4">
      <c r="A117" s="13">
        <v>5</v>
      </c>
      <c r="B117" s="373" t="s">
        <v>152</v>
      </c>
      <c r="C117" s="390"/>
      <c r="D117" s="151" t="s">
        <v>24</v>
      </c>
    </row>
    <row r="118" spans="1:4">
      <c r="A118" s="6" t="s">
        <v>3</v>
      </c>
      <c r="B118" s="323" t="s">
        <v>153</v>
      </c>
      <c r="C118" s="323"/>
      <c r="D118" s="8">
        <f>+Uniforme!G106</f>
        <v>0</v>
      </c>
    </row>
    <row r="119" spans="1:4">
      <c r="A119" s="6" t="s">
        <v>177</v>
      </c>
      <c r="B119" s="34" t="s">
        <v>178</v>
      </c>
      <c r="C119" s="29">
        <f>+$C$137+$C$138</f>
        <v>3.6499999999999998E-2</v>
      </c>
      <c r="D119" s="77">
        <f>+(C119*D118)*-1</f>
        <v>0</v>
      </c>
    </row>
    <row r="120" spans="1:4">
      <c r="A120" s="6" t="s">
        <v>4</v>
      </c>
      <c r="B120" s="323" t="s">
        <v>154</v>
      </c>
      <c r="C120" s="323"/>
      <c r="D120" s="8"/>
    </row>
    <row r="121" spans="1:4">
      <c r="A121" s="6" t="s">
        <v>41</v>
      </c>
      <c r="B121" s="34" t="s">
        <v>178</v>
      </c>
      <c r="C121" s="29">
        <f>+$C$137+$C$138</f>
        <v>3.6499999999999998E-2</v>
      </c>
      <c r="D121" s="77">
        <f>+(C121*D120)*-1</f>
        <v>0</v>
      </c>
    </row>
    <row r="122" spans="1:4">
      <c r="A122" s="6" t="s">
        <v>5</v>
      </c>
      <c r="B122" s="323" t="s">
        <v>155</v>
      </c>
      <c r="C122" s="323"/>
      <c r="D122" s="8">
        <f>+Uniforme!F114</f>
        <v>0</v>
      </c>
    </row>
    <row r="123" spans="1:4">
      <c r="A123" s="6" t="s">
        <v>161</v>
      </c>
      <c r="B123" s="34" t="s">
        <v>178</v>
      </c>
      <c r="C123" s="29">
        <f>+$C$137+$C$138</f>
        <v>3.6499999999999998E-2</v>
      </c>
      <c r="D123" s="77">
        <f>+(C123*D122)*-1</f>
        <v>0</v>
      </c>
    </row>
    <row r="124" spans="1:4">
      <c r="A124" s="6" t="s">
        <v>6</v>
      </c>
      <c r="B124" s="323" t="s">
        <v>36</v>
      </c>
      <c r="C124" s="323"/>
      <c r="D124" s="8"/>
    </row>
    <row r="125" spans="1:4">
      <c r="A125" s="6" t="s">
        <v>179</v>
      </c>
      <c r="B125" s="34" t="s">
        <v>178</v>
      </c>
      <c r="C125" s="29">
        <f>+$C$137+$C$138</f>
        <v>3.6499999999999998E-2</v>
      </c>
      <c r="D125" s="77">
        <f>+(C125*D124)*-1</f>
        <v>0</v>
      </c>
    </row>
    <row r="126" spans="1:4">
      <c r="A126" s="380" t="s">
        <v>29</v>
      </c>
      <c r="B126" s="380"/>
      <c r="C126" s="380"/>
      <c r="D126" s="9">
        <f>SUM(D118:D124)</f>
        <v>0</v>
      </c>
    </row>
    <row r="128" spans="1:4">
      <c r="A128" s="409" t="s">
        <v>156</v>
      </c>
      <c r="B128" s="409"/>
      <c r="C128" s="409"/>
      <c r="D128" s="409"/>
    </row>
    <row r="130" spans="1:4">
      <c r="A130" s="13">
        <v>6</v>
      </c>
      <c r="B130" s="14" t="s">
        <v>157</v>
      </c>
      <c r="C130" s="155" t="s">
        <v>50</v>
      </c>
      <c r="D130" s="151" t="s">
        <v>24</v>
      </c>
    </row>
    <row r="131" spans="1:4">
      <c r="A131" s="116" t="s">
        <v>3</v>
      </c>
      <c r="B131" s="116" t="s">
        <v>158</v>
      </c>
      <c r="C131" s="114">
        <v>0.03</v>
      </c>
      <c r="D131" s="301">
        <f>($D$126+$D$113+$D$81+$D$70+$D$25)*C131</f>
        <v>0</v>
      </c>
    </row>
    <row r="132" spans="1:4">
      <c r="A132" s="116" t="s">
        <v>4</v>
      </c>
      <c r="B132" s="116" t="s">
        <v>159</v>
      </c>
      <c r="C132" s="114">
        <v>0.03</v>
      </c>
      <c r="D132" s="301">
        <f>($D$126+$D$113+$D$81+$D$70+$D$25+D131)*C132</f>
        <v>0</v>
      </c>
    </row>
    <row r="133" spans="1:4" s="79" customFormat="1">
      <c r="A133" s="381" t="s">
        <v>181</v>
      </c>
      <c r="B133" s="382"/>
      <c r="C133" s="383"/>
      <c r="D133" s="81">
        <f>++D132+D131+D126+D113+D81+D70+D25</f>
        <v>0</v>
      </c>
    </row>
    <row r="134" spans="1:4" s="79" customFormat="1">
      <c r="A134" s="384" t="s">
        <v>182</v>
      </c>
      <c r="B134" s="385"/>
      <c r="C134" s="386"/>
      <c r="D134" s="81">
        <f>ROUND(D133/(1-(C137+C138+C140+C142+C143)),2)</f>
        <v>0</v>
      </c>
    </row>
    <row r="135" spans="1:4">
      <c r="A135" s="6" t="s">
        <v>5</v>
      </c>
      <c r="B135" s="6" t="s">
        <v>160</v>
      </c>
      <c r="C135" s="17"/>
      <c r="D135" s="6"/>
    </row>
    <row r="136" spans="1:4">
      <c r="A136" s="6" t="s">
        <v>161</v>
      </c>
      <c r="B136" s="6" t="s">
        <v>162</v>
      </c>
      <c r="C136" s="17"/>
      <c r="D136" s="6"/>
    </row>
    <row r="137" spans="1:4">
      <c r="A137" s="116" t="s">
        <v>163</v>
      </c>
      <c r="B137" s="116" t="s">
        <v>165</v>
      </c>
      <c r="C137" s="114">
        <v>6.4999999999999997E-3</v>
      </c>
      <c r="D137" s="301">
        <f>ROUND(C137*$D$134,2)</f>
        <v>0</v>
      </c>
    </row>
    <row r="138" spans="1:4">
      <c r="A138" s="116" t="s">
        <v>164</v>
      </c>
      <c r="B138" s="116" t="s">
        <v>166</v>
      </c>
      <c r="C138" s="114">
        <v>0.03</v>
      </c>
      <c r="D138" s="301">
        <f>ROUND(C138*$D$134,2)</f>
        <v>0</v>
      </c>
    </row>
    <row r="139" spans="1:4">
      <c r="A139" s="6" t="s">
        <v>167</v>
      </c>
      <c r="B139" s="6" t="s">
        <v>168</v>
      </c>
      <c r="C139" s="17"/>
      <c r="D139" s="18"/>
    </row>
    <row r="140" spans="1:4">
      <c r="A140" s="6" t="s">
        <v>170</v>
      </c>
      <c r="B140" s="6" t="s">
        <v>169</v>
      </c>
      <c r="C140" s="17"/>
      <c r="D140" s="6"/>
    </row>
    <row r="141" spans="1:4">
      <c r="A141" s="6" t="s">
        <v>171</v>
      </c>
      <c r="B141" s="6" t="s">
        <v>172</v>
      </c>
      <c r="C141" s="17"/>
      <c r="D141" s="6"/>
    </row>
    <row r="142" spans="1:4">
      <c r="A142" s="116" t="s">
        <v>173</v>
      </c>
      <c r="B142" s="116" t="s">
        <v>174</v>
      </c>
      <c r="C142" s="114">
        <v>0.05</v>
      </c>
      <c r="D142" s="301">
        <f>ROUND(C142*$D$134,2)</f>
        <v>0</v>
      </c>
    </row>
    <row r="143" spans="1:4">
      <c r="A143" s="6" t="s">
        <v>175</v>
      </c>
      <c r="B143" s="6" t="s">
        <v>176</v>
      </c>
      <c r="C143" s="17"/>
      <c r="D143" s="6"/>
    </row>
    <row r="144" spans="1:4">
      <c r="A144" s="373" t="s">
        <v>29</v>
      </c>
      <c r="B144" s="374"/>
      <c r="C144" s="80">
        <f>+C143+C142+C140+C138+C137+C132+C131</f>
        <v>0.14650000000000002</v>
      </c>
      <c r="D144" s="9">
        <f>+D142+D140+D138+D137+D132+D131</f>
        <v>0</v>
      </c>
    </row>
    <row r="146" spans="1:4">
      <c r="A146" s="437" t="s">
        <v>183</v>
      </c>
      <c r="B146" s="437"/>
      <c r="C146" s="437"/>
      <c r="D146" s="437"/>
    </row>
    <row r="147" spans="1:4">
      <c r="A147" s="6" t="s">
        <v>3</v>
      </c>
      <c r="B147" s="375" t="s">
        <v>185</v>
      </c>
      <c r="C147" s="375"/>
      <c r="D147" s="8">
        <f>+D25</f>
        <v>0</v>
      </c>
    </row>
    <row r="148" spans="1:4">
      <c r="A148" s="6" t="s">
        <v>184</v>
      </c>
      <c r="B148" s="375" t="s">
        <v>186</v>
      </c>
      <c r="C148" s="375"/>
      <c r="D148" s="8">
        <f>+D70</f>
        <v>0</v>
      </c>
    </row>
    <row r="149" spans="1:4">
      <c r="A149" s="6" t="s">
        <v>5</v>
      </c>
      <c r="B149" s="375" t="s">
        <v>187</v>
      </c>
      <c r="C149" s="375"/>
      <c r="D149" s="8">
        <f>+D81</f>
        <v>0</v>
      </c>
    </row>
    <row r="150" spans="1:4">
      <c r="A150" s="6" t="s">
        <v>6</v>
      </c>
      <c r="B150" s="375" t="s">
        <v>188</v>
      </c>
      <c r="C150" s="375"/>
      <c r="D150" s="8">
        <f>+D113</f>
        <v>0</v>
      </c>
    </row>
    <row r="151" spans="1:4">
      <c r="A151" s="6" t="s">
        <v>25</v>
      </c>
      <c r="B151" s="375" t="s">
        <v>189</v>
      </c>
      <c r="C151" s="375"/>
      <c r="D151" s="8">
        <f>+D126</f>
        <v>0</v>
      </c>
    </row>
    <row r="152" spans="1:4">
      <c r="B152" s="417" t="s">
        <v>192</v>
      </c>
      <c r="C152" s="417"/>
      <c r="D152" s="72">
        <f>SUM(D147:D151)</f>
        <v>0</v>
      </c>
    </row>
    <row r="153" spans="1:4">
      <c r="A153" s="6" t="s">
        <v>26</v>
      </c>
      <c r="B153" s="375" t="s">
        <v>190</v>
      </c>
      <c r="C153" s="375"/>
      <c r="D153" s="8">
        <f>+D144</f>
        <v>0</v>
      </c>
    </row>
    <row r="155" spans="1:4">
      <c r="A155" s="376" t="s">
        <v>191</v>
      </c>
      <c r="B155" s="376"/>
      <c r="C155" s="376"/>
      <c r="D155" s="82">
        <f>ROUND(+D153+D152,2)</f>
        <v>0</v>
      </c>
    </row>
    <row r="157" spans="1:4">
      <c r="A157" s="419" t="s">
        <v>77</v>
      </c>
      <c r="B157" s="419"/>
      <c r="C157" s="419"/>
      <c r="D157" s="419"/>
    </row>
    <row r="159" spans="1:4">
      <c r="A159" s="6" t="s">
        <v>3</v>
      </c>
      <c r="B159" s="6" t="s">
        <v>46</v>
      </c>
      <c r="C159" s="44" t="e">
        <f>+C31</f>
        <v>#DIV/0!</v>
      </c>
      <c r="D159" s="8">
        <f>+D31</f>
        <v>0</v>
      </c>
    </row>
    <row r="160" spans="1:4">
      <c r="A160" s="6" t="s">
        <v>4</v>
      </c>
      <c r="B160" s="6" t="s">
        <v>45</v>
      </c>
      <c r="C160" s="44" t="e">
        <f>+C33</f>
        <v>#DIV/0!</v>
      </c>
      <c r="D160" s="8">
        <f>+D33</f>
        <v>0</v>
      </c>
    </row>
    <row r="161" spans="1:5">
      <c r="A161" s="6" t="s">
        <v>5</v>
      </c>
      <c r="B161" s="6" t="s">
        <v>44</v>
      </c>
      <c r="C161" s="44" t="e">
        <f>+C34</f>
        <v>#DIV/0!</v>
      </c>
      <c r="D161" s="8">
        <f>+D34</f>
        <v>0</v>
      </c>
    </row>
    <row r="162" spans="1:5" ht="25.5">
      <c r="A162" s="6" t="s">
        <v>6</v>
      </c>
      <c r="B162" s="30" t="s">
        <v>75</v>
      </c>
      <c r="C162" s="17" t="e">
        <f>+C77</f>
        <v>#DIV/0!</v>
      </c>
      <c r="D162" s="8">
        <f>+D77</f>
        <v>0</v>
      </c>
    </row>
    <row r="163" spans="1:5" ht="25.5">
      <c r="A163" s="6" t="s">
        <v>25</v>
      </c>
      <c r="B163" s="30" t="s">
        <v>76</v>
      </c>
      <c r="C163" s="44" t="e">
        <f>+C80</f>
        <v>#DIV/0!</v>
      </c>
      <c r="D163" s="18">
        <f>+D80</f>
        <v>0</v>
      </c>
    </row>
    <row r="164" spans="1:5">
      <c r="A164" s="6" t="s">
        <v>81</v>
      </c>
      <c r="B164" s="34" t="s">
        <v>79</v>
      </c>
      <c r="C164" s="418" t="e">
        <f>+(D164+D165+D166)/D25</f>
        <v>#DIV/0!</v>
      </c>
      <c r="D164" s="8">
        <f>ROUND(D31*(SUM($C$39:$C$46)),2)</f>
        <v>0</v>
      </c>
    </row>
    <row r="165" spans="1:5">
      <c r="A165" s="6" t="s">
        <v>82</v>
      </c>
      <c r="B165" s="34" t="s">
        <v>78</v>
      </c>
      <c r="C165" s="418"/>
      <c r="D165" s="8">
        <f>ROUND(D33*(SUM($C$39:$C$46)),2)</f>
        <v>0</v>
      </c>
    </row>
    <row r="166" spans="1:5">
      <c r="A166" s="6" t="s">
        <v>83</v>
      </c>
      <c r="B166" s="34" t="s">
        <v>80</v>
      </c>
      <c r="C166" s="418"/>
      <c r="D166" s="8">
        <f>ROUND(D34*(SUM($C$39:$C$46)),2)</f>
        <v>0</v>
      </c>
    </row>
    <row r="167" spans="1:5">
      <c r="A167" s="388" t="s">
        <v>29</v>
      </c>
      <c r="B167" s="389"/>
      <c r="C167" s="420"/>
      <c r="D167" s="45">
        <f>SUM(D159:D166)</f>
        <v>0</v>
      </c>
    </row>
    <row r="168" spans="1:5">
      <c r="B168" s="96"/>
      <c r="C168" s="96"/>
      <c r="D168" s="96"/>
    </row>
    <row r="169" spans="1:5">
      <c r="A169" s="97"/>
      <c r="B169" s="97"/>
      <c r="C169" s="97"/>
      <c r="D169" s="97"/>
      <c r="E169" s="97"/>
    </row>
    <row r="170" spans="1:5" s="67" customFormat="1" ht="41.25" customHeight="1">
      <c r="A170" s="414" t="s">
        <v>289</v>
      </c>
      <c r="B170" s="414"/>
      <c r="C170" s="414"/>
      <c r="D170" s="414"/>
      <c r="E170" s="128"/>
    </row>
    <row r="171" spans="1:5">
      <c r="A171" s="97"/>
      <c r="B171" s="97"/>
      <c r="C171" s="97"/>
      <c r="D171" s="97"/>
      <c r="E171" s="97"/>
    </row>
    <row r="172" spans="1:5" ht="42.75" customHeight="1">
      <c r="A172" s="415" t="s">
        <v>290</v>
      </c>
      <c r="B172" s="415"/>
      <c r="C172" s="415"/>
      <c r="D172" s="415"/>
      <c r="E172" s="97"/>
    </row>
    <row r="173" spans="1:5">
      <c r="A173" s="97"/>
      <c r="B173" s="97"/>
      <c r="C173" s="97"/>
      <c r="D173" s="97"/>
      <c r="E173" s="97"/>
    </row>
    <row r="174" spans="1:5">
      <c r="A174" s="97"/>
      <c r="B174" s="97"/>
      <c r="C174" s="97"/>
      <c r="D174" s="97"/>
      <c r="E174" s="97"/>
    </row>
    <row r="175" spans="1:5">
      <c r="A175" s="97"/>
      <c r="B175" s="97"/>
      <c r="C175" s="97"/>
      <c r="D175" s="97"/>
      <c r="E175" s="97"/>
    </row>
    <row r="176" spans="1:5">
      <c r="A176" s="97"/>
      <c r="B176" s="97"/>
      <c r="C176" s="97"/>
      <c r="D176" s="97"/>
      <c r="E176" s="97"/>
    </row>
    <row r="177" spans="1:5">
      <c r="A177" s="97"/>
      <c r="B177" s="97"/>
      <c r="C177" s="97"/>
      <c r="D177" s="97"/>
      <c r="E177" s="97"/>
    </row>
    <row r="178" spans="1:5">
      <c r="A178" s="97"/>
      <c r="B178" s="97"/>
      <c r="C178" s="97"/>
      <c r="D178" s="97"/>
      <c r="E178" s="97"/>
    </row>
    <row r="179" spans="1:5">
      <c r="A179" s="97"/>
      <c r="B179" s="97"/>
      <c r="C179" s="97"/>
      <c r="D179" s="97"/>
      <c r="E179" s="97"/>
    </row>
    <row r="180" spans="1:5">
      <c r="A180" s="97"/>
      <c r="B180" s="97"/>
      <c r="C180" s="97"/>
      <c r="D180" s="97"/>
      <c r="E180" s="97"/>
    </row>
    <row r="181" spans="1:5">
      <c r="A181" s="97"/>
      <c r="B181" s="97"/>
      <c r="C181" s="97"/>
      <c r="D181" s="97"/>
      <c r="E181" s="97"/>
    </row>
    <row r="182" spans="1:5">
      <c r="A182" s="97"/>
      <c r="B182" s="97"/>
      <c r="C182" s="97"/>
      <c r="D182" s="97"/>
      <c r="E182" s="97"/>
    </row>
    <row r="183" spans="1:5">
      <c r="A183" s="97"/>
      <c r="B183" s="97"/>
      <c r="C183" s="97"/>
      <c r="D183" s="97"/>
      <c r="E183" s="97"/>
    </row>
    <row r="184" spans="1:5">
      <c r="A184" s="97"/>
      <c r="B184" s="97"/>
      <c r="C184" s="97"/>
      <c r="D184" s="97"/>
      <c r="E184" s="97"/>
    </row>
    <row r="185" spans="1:5">
      <c r="A185" s="97"/>
      <c r="B185" s="97"/>
      <c r="C185" s="97"/>
      <c r="D185" s="97"/>
      <c r="E185" s="97"/>
    </row>
    <row r="186" spans="1:5">
      <c r="A186" s="97"/>
      <c r="B186" s="97"/>
      <c r="C186" s="97"/>
      <c r="D186" s="97"/>
      <c r="E186" s="97"/>
    </row>
    <row r="187" spans="1:5">
      <c r="A187" s="97"/>
      <c r="B187" s="97"/>
      <c r="C187" s="97"/>
      <c r="D187" s="97"/>
      <c r="E187" s="97"/>
    </row>
  </sheetData>
  <mergeCells count="83">
    <mergeCell ref="A167:C167"/>
    <mergeCell ref="A170:D170"/>
    <mergeCell ref="B149:C149"/>
    <mergeCell ref="B150:C150"/>
    <mergeCell ref="B151:C151"/>
    <mergeCell ref="B152:C152"/>
    <mergeCell ref="B153:C153"/>
    <mergeCell ref="A172:D172"/>
    <mergeCell ref="B148:C148"/>
    <mergeCell ref="B118:C118"/>
    <mergeCell ref="B120:C120"/>
    <mergeCell ref="B122:C122"/>
    <mergeCell ref="B124:C124"/>
    <mergeCell ref="A126:C126"/>
    <mergeCell ref="A128:D128"/>
    <mergeCell ref="A133:C133"/>
    <mergeCell ref="A134:C134"/>
    <mergeCell ref="A144:B144"/>
    <mergeCell ref="A146:D146"/>
    <mergeCell ref="B147:C147"/>
    <mergeCell ref="A155:C155"/>
    <mergeCell ref="A157:D157"/>
    <mergeCell ref="C164:C166"/>
    <mergeCell ref="B117:C117"/>
    <mergeCell ref="B101:C101"/>
    <mergeCell ref="A102:C102"/>
    <mergeCell ref="B104:C104"/>
    <mergeCell ref="B105:C105"/>
    <mergeCell ref="A106:C106"/>
    <mergeCell ref="B109:C109"/>
    <mergeCell ref="B110:C110"/>
    <mergeCell ref="B111:C111"/>
    <mergeCell ref="B112:C112"/>
    <mergeCell ref="A113:C113"/>
    <mergeCell ref="A115:D115"/>
    <mergeCell ref="B100:C100"/>
    <mergeCell ref="B88:C88"/>
    <mergeCell ref="B89:C89"/>
    <mergeCell ref="B90:C90"/>
    <mergeCell ref="B91:C91"/>
    <mergeCell ref="B92:C92"/>
    <mergeCell ref="B93:C93"/>
    <mergeCell ref="B94:C94"/>
    <mergeCell ref="A95:C95"/>
    <mergeCell ref="B97:C97"/>
    <mergeCell ref="B98:C98"/>
    <mergeCell ref="B99:C99"/>
    <mergeCell ref="B87:C87"/>
    <mergeCell ref="A65:D65"/>
    <mergeCell ref="B66:C66"/>
    <mergeCell ref="B67:C67"/>
    <mergeCell ref="B68:C68"/>
    <mergeCell ref="B69:C69"/>
    <mergeCell ref="A70:C70"/>
    <mergeCell ref="A72:D72"/>
    <mergeCell ref="A81:C81"/>
    <mergeCell ref="A83:D83"/>
    <mergeCell ref="A85:D85"/>
    <mergeCell ref="B86:C86"/>
    <mergeCell ref="A63:B63"/>
    <mergeCell ref="B20:C20"/>
    <mergeCell ref="B21:C21"/>
    <mergeCell ref="B23:C23"/>
    <mergeCell ref="B24:C24"/>
    <mergeCell ref="A25:C25"/>
    <mergeCell ref="A27:D27"/>
    <mergeCell ref="A29:D29"/>
    <mergeCell ref="A35:C35"/>
    <mergeCell ref="A37:D37"/>
    <mergeCell ref="A49:D49"/>
    <mergeCell ref="B61:C61"/>
    <mergeCell ref="B19:C19"/>
    <mergeCell ref="A1:D1"/>
    <mergeCell ref="A5:D5"/>
    <mergeCell ref="C6:D6"/>
    <mergeCell ref="C7:D7"/>
    <mergeCell ref="C8:D8"/>
    <mergeCell ref="C9:D9"/>
    <mergeCell ref="C10:D10"/>
    <mergeCell ref="A12:D12"/>
    <mergeCell ref="B14:C14"/>
    <mergeCell ref="B17:C17"/>
    <mergeCell ref="B18:C18"/>
  </mergeCells>
  <pageMargins left="1.0236220472440944" right="0.15748031496062992" top="0.39370078740157483" bottom="0.51181102362204722" header="0.31496062992125984" footer="0.31496062992125984"/>
  <pageSetup paperSize="9" scale="9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16</vt:i4>
      </vt:variant>
    </vt:vector>
  </HeadingPairs>
  <TitlesOfParts>
    <vt:vector size="33" baseType="lpstr">
      <vt:lpstr>Apresentação</vt:lpstr>
      <vt:lpstr>Estimativa de Custo</vt:lpstr>
      <vt:lpstr>Vigilante 12X36 Diurno Arm</vt:lpstr>
      <vt:lpstr>Calculo 12 36 Diu Arm</vt:lpstr>
      <vt:lpstr>Vigilante 12x36 Noturno Arm</vt:lpstr>
      <vt:lpstr>Calculo 12 36 Not Arm</vt:lpstr>
      <vt:lpstr>Vigilante 12X36 Diurno Des</vt:lpstr>
      <vt:lpstr>Calculo 12 36 Diu Des</vt:lpstr>
      <vt:lpstr>Vigilante 12X36 Noturno Des</vt:lpstr>
      <vt:lpstr>Calculo 12 36 Not Des</vt:lpstr>
      <vt:lpstr>Vigilante 5x2 12h Arm</vt:lpstr>
      <vt:lpstr>Calculo 5x2 12h Arm</vt:lpstr>
      <vt:lpstr>Vigilante 5x2 12h Desar</vt:lpstr>
      <vt:lpstr>Calculo 5x2 12h Desar</vt:lpstr>
      <vt:lpstr>Vigilante 44h Desarm</vt:lpstr>
      <vt:lpstr>Calculo 44h Desarm</vt:lpstr>
      <vt:lpstr>Uniforme</vt:lpstr>
      <vt:lpstr>Apresentação!Area_de_impressao</vt:lpstr>
      <vt:lpstr>'Calculo 12 36 Diu Arm'!Area_de_impressao</vt:lpstr>
      <vt:lpstr>'Calculo 12 36 Diu Des'!Area_de_impressao</vt:lpstr>
      <vt:lpstr>'Calculo 12 36 Not Arm'!Area_de_impressao</vt:lpstr>
      <vt:lpstr>'Calculo 12 36 Not Des'!Area_de_impressao</vt:lpstr>
      <vt:lpstr>'Calculo 5x2 12h Arm'!Area_de_impressao</vt:lpstr>
      <vt:lpstr>'Calculo 5x2 12h Desar'!Area_de_impressao</vt:lpstr>
      <vt:lpstr>'Estimativa de Custo'!Area_de_impressao</vt:lpstr>
      <vt:lpstr>Uniforme!Area_de_impressao</vt:lpstr>
      <vt:lpstr>'Vigilante 12X36 Diurno Arm'!Area_de_impressao</vt:lpstr>
      <vt:lpstr>'Vigilante 12X36 Diurno Des'!Area_de_impressao</vt:lpstr>
      <vt:lpstr>'Vigilante 12x36 Noturno Arm'!Area_de_impressao</vt:lpstr>
      <vt:lpstr>'Vigilante 12X36 Noturno Des'!Area_de_impressao</vt:lpstr>
      <vt:lpstr>'Vigilante 44h Desarm'!Area_de_impressao</vt:lpstr>
      <vt:lpstr>'Vigilante 5x2 12h Arm'!Area_de_impressao</vt:lpstr>
      <vt:lpstr>'Vigilante 5x2 12h Desar'!Area_de_impressao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marcelao</dc:creator>
  <cp:lastModifiedBy>marcelao</cp:lastModifiedBy>
  <cp:lastPrinted>2018-07-31T14:45:59Z</cp:lastPrinted>
  <dcterms:created xsi:type="dcterms:W3CDTF">2017-09-28T13:23:26Z</dcterms:created>
  <dcterms:modified xsi:type="dcterms:W3CDTF">2018-08-02T18:06:57Z</dcterms:modified>
</cp:coreProperties>
</file>