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presentação" sheetId="1" state="visible" r:id="rId2"/>
    <sheet name="Totalizadora" sheetId="2" state="visible" r:id="rId3"/>
    <sheet name="Custo LOTE I" sheetId="3" state="visible" r:id="rId4"/>
    <sheet name="Custo LOTE II" sheetId="4" state="visible" r:id="rId5"/>
    <sheet name="Custo LOTE III" sheetId="5" state="visible" r:id="rId6"/>
    <sheet name="Custo LOTE IV" sheetId="6" state="visible" r:id="rId7"/>
    <sheet name="Custo LOTE V" sheetId="7" state="visible" r:id="rId8"/>
    <sheet name="Custo LOTE VI" sheetId="8" state="visible" r:id="rId9"/>
    <sheet name="Custo LOTE VII" sheetId="9" state="visible" r:id="rId10"/>
    <sheet name="Vigilante 12X36 Diurno Arm" sheetId="10" state="visible" r:id="rId11"/>
    <sheet name="Calculo 12 36 Diu Arm" sheetId="11" state="visible" r:id="rId12"/>
    <sheet name="Vigilante 12x36 Noturno Arm" sheetId="12" state="visible" r:id="rId13"/>
    <sheet name="Calculo 12 36 Not Arm" sheetId="13" state="visible" r:id="rId14"/>
    <sheet name="Vigilante 5x2 12h Arm" sheetId="14" state="visible" r:id="rId15"/>
    <sheet name="Calculo 5x2 12h Arm" sheetId="15" state="visible" r:id="rId16"/>
    <sheet name="Vigilante 44h Arm" sheetId="16" state="visible" r:id="rId17"/>
    <sheet name="Calculo 44h Arm" sheetId="17" state="visible" r:id="rId18"/>
    <sheet name="Vigilante 12x36 Diurno Des" sheetId="18" state="visible" r:id="rId19"/>
    <sheet name="Calculo 12 36 Diu Des" sheetId="19" state="visible" r:id="rId20"/>
    <sheet name="Vigilante 12x36 Noturno Des" sheetId="20" state="visible" r:id="rId21"/>
    <sheet name="Calculo 12 36 Not Des" sheetId="21" state="visible" r:id="rId22"/>
    <sheet name="Uniforme" sheetId="22" state="visible" r:id="rId23"/>
  </sheets>
  <definedNames>
    <definedName function="false" hidden="false" localSheetId="0" name="_xlnm.Print_Area" vbProcedure="false">Apresentação!$A$9:$L$85</definedName>
    <definedName function="false" hidden="false" localSheetId="0" name="_xlnm.Print_Titles" vbProcedure="false">Apresentação!$9:$16</definedName>
    <definedName function="false" hidden="false" localSheetId="10" name="_xlnm.Print_Area" vbProcedure="false">'Calculo 12 36 Diu Arm'!$A$1:$C$230</definedName>
    <definedName function="false" hidden="false" localSheetId="18" name="_xlnm.Print_Area" vbProcedure="false">'Calculo 12 36 Diu Des'!$A$1:$C$230</definedName>
    <definedName function="false" hidden="false" localSheetId="12" name="_xlnm.Print_Area" vbProcedure="false">'Calculo 12 36 Not Arm'!$A$1:$C$230</definedName>
    <definedName function="false" hidden="false" localSheetId="20" name="_xlnm.Print_Area" vbProcedure="false">'Calculo 12 36 Not Des'!$A$1:$C$230</definedName>
    <definedName function="false" hidden="false" localSheetId="16" name="_xlnm.Print_Area" vbProcedure="false">'Calculo 44h Arm'!$A$1:$C$245</definedName>
    <definedName function="false" hidden="false" localSheetId="14" name="_xlnm.Print_Area" vbProcedure="false">'Calculo 5x2 12h Arm'!$A$1:$C$244</definedName>
    <definedName function="false" hidden="false" localSheetId="2" name="_xlnm.Print_Area" vbProcedure="false">'Custo LOTE I'!$A$1:$N$36</definedName>
    <definedName function="false" hidden="false" localSheetId="3" name="_xlnm.Print_Area" vbProcedure="false">'Custo LOTE II'!$A$1:$N$57</definedName>
    <definedName function="false" hidden="false" localSheetId="4" name="_xlnm.Print_Area" vbProcedure="false">'Custo LOTE III'!$A$1:$N$37</definedName>
    <definedName function="false" hidden="false" localSheetId="5" name="_xlnm.Print_Area" vbProcedure="false">'Custo LOTE IV'!$A$1:$N$36</definedName>
    <definedName function="false" hidden="false" localSheetId="6" name="_xlnm.Print_Area" vbProcedure="false">'Custo LOTE V'!$A$1:$N$38</definedName>
    <definedName function="false" hidden="false" localSheetId="7" name="_xlnm.Print_Area" vbProcedure="false">'Custo LOTE VI'!$A$1:$N$29</definedName>
    <definedName function="false" hidden="false" localSheetId="8" name="_xlnm.Print_Area" vbProcedure="false">'Custo LOTE VII'!$A$1:$N$30</definedName>
    <definedName function="false" hidden="false" localSheetId="1" name="_xlnm.Print_Area" vbProcedure="false">Totalizadora!$A$1:$T$24</definedName>
    <definedName function="false" hidden="false" localSheetId="21" name="_xlnm.Print_Area" vbProcedure="false">Uniforme!$A$1:$G$153</definedName>
    <definedName function="false" hidden="false" localSheetId="9" name="_xlnm.Print_Area" vbProcedure="false">'Vigilante 12X36 Diurno Arm'!$A$1:$D$171</definedName>
    <definedName function="false" hidden="false" localSheetId="17" name="_xlnm.Print_Area" vbProcedure="false">'Vigilante 12x36 Diurno Des'!$A$1:$D$171</definedName>
    <definedName function="false" hidden="false" localSheetId="11" name="_xlnm.Print_Area" vbProcedure="false">'Vigilante 12x36 Noturno Arm'!$A$1:$D$172</definedName>
    <definedName function="false" hidden="false" localSheetId="19" name="_xlnm.Print_Area" vbProcedure="false">'Vigilante 12x36 Noturno Des'!$A$1:$D$173</definedName>
    <definedName function="false" hidden="false" localSheetId="15" name="_xlnm.Print_Area" vbProcedure="false">'Vigilante 44h Arm'!$A$1:$D$172</definedName>
    <definedName function="false" hidden="false" localSheetId="13" name="_xlnm.Print_Area" vbProcedure="false">'Vigilante 5x2 12h Arm'!$A$1:$D$173</definedName>
    <definedName function="false" hidden="false" localSheetId="0" name="OLE_LINK1" vbProcedure="false">apresentação!#REF!</definedName>
    <definedName function="false" hidden="false" localSheetId="0" name="_xlnm.Print_Area" vbProcedure="false">Apresentação!$A$9:$L$85</definedName>
    <definedName function="false" hidden="false" localSheetId="0" name="_xlnm.Print_Titles" vbProcedure="false">Apresentação!$9:$16</definedName>
    <definedName function="false" hidden="false" localSheetId="1" name="_xlnm.Print_Area" vbProcedure="false">Totalizadora!$A$1:$T$24</definedName>
    <definedName function="false" hidden="false" localSheetId="2" name="_xlnm.Print_Area" vbProcedure="false">'Custo LOTE I'!$A$1:$N$36</definedName>
    <definedName function="false" hidden="false" localSheetId="3" name="_xlnm.Print_Area" vbProcedure="false">'Custo LOTE II'!$A$1:$N$57</definedName>
    <definedName function="false" hidden="false" localSheetId="4" name="_xlnm.Print_Area" vbProcedure="false">'Custo LOTE III'!$A$1:$N$37</definedName>
    <definedName function="false" hidden="false" localSheetId="5" name="_xlnm.Print_Area" vbProcedure="false">'Custo LOTE IV'!$A$1:$N$36</definedName>
    <definedName function="false" hidden="false" localSheetId="6" name="_xlnm.Print_Area" vbProcedure="false">'Custo LOTE V'!$A$1:$N$38</definedName>
    <definedName function="false" hidden="false" localSheetId="7" name="_xlnm.Print_Area" vbProcedure="false">'Custo LOTE VI'!$A$1:$N$29</definedName>
    <definedName function="false" hidden="false" localSheetId="8" name="_xlnm.Print_Area" vbProcedure="false">'Custo LOTE VII'!$A$1:$N$30</definedName>
    <definedName function="false" hidden="false" localSheetId="9" name="_xlnm.Print_Area" vbProcedure="false">'Vigilante 12X36 Diurno Arm'!$A$1:$D$171</definedName>
    <definedName function="false" hidden="false" localSheetId="10" name="_xlnm.Print_Area" vbProcedure="false">'Calculo 12 36 Diu Arm'!$A$1:$C$230</definedName>
    <definedName function="false" hidden="false" localSheetId="11" name="_xlnm.Print_Area" vbProcedure="false">'Vigilante 12x36 Noturno Arm'!$A$1:$D$172</definedName>
    <definedName function="false" hidden="false" localSheetId="12" name="_xlnm.Print_Area" vbProcedure="false">'Calculo 12 36 Not Arm'!$A$1:$C$230</definedName>
    <definedName function="false" hidden="false" localSheetId="13" name="_xlnm.Print_Area" vbProcedure="false">'Vigilante 5x2 12h Arm'!$A$1:$D$173</definedName>
    <definedName function="false" hidden="false" localSheetId="14" name="_xlnm.Print_Area" vbProcedure="false">'Calculo 5x2 12h Arm'!$A$1:$C$244</definedName>
    <definedName function="false" hidden="false" localSheetId="15" name="_xlnm.Print_Area" vbProcedure="false">'Vigilante 44h Arm'!$A$1:$D$172</definedName>
    <definedName function="false" hidden="false" localSheetId="16" name="_xlnm.Print_Area" vbProcedure="false">'Calculo 44h Arm'!$A$1:$C$245</definedName>
    <definedName function="false" hidden="false" localSheetId="17" name="_xlnm.Print_Area" vbProcedure="false">'Vigilante 12x36 Diurno Des'!$A$1:$D$171</definedName>
    <definedName function="false" hidden="false" localSheetId="18" name="_xlnm.Print_Area" vbProcedure="false">'Calculo 12 36 Diu Des'!$A$1:$C$230</definedName>
    <definedName function="false" hidden="false" localSheetId="19" name="_xlnm.Print_Area" vbProcedure="false">'Vigilante 12x36 Noturno Des'!$A$1:$D$173</definedName>
    <definedName function="false" hidden="false" localSheetId="20" name="_xlnm.Print_Area" vbProcedure="false">'Calculo 12 36 Not Des'!$A$1:$C$230</definedName>
    <definedName function="false" hidden="false" localSheetId="21" name="_xlnm.Print_Area" vbProcedure="false">Uniforme!$A$1:$G$153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<sst xmlns="http://schemas.openxmlformats.org/spreadsheetml/2006/main" count="4251" uniqueCount="513">
  <si>
    <t xml:space="preserve">PLANILHA DE CUSTOS E FORMAÇÃO DE PREÇOS - ESTIMATIVA DA ADMINISTRAÇÃO</t>
  </si>
  <si>
    <t xml:space="preserve">Seu preenchimento é de responsabilidade da Empresa que enviará a cotação </t>
  </si>
  <si>
    <t xml:space="preserve">Os itens marcados com a cor</t>
  </si>
  <si>
    <t xml:space="preserve"> em geral são os itens que devem ser preenchidos pela Empresa</t>
  </si>
  <si>
    <t xml:space="preserve">Caso a Empresa não concorde com o modelo de calculo apresentado, este poderá ser alterado.</t>
  </si>
  <si>
    <t xml:space="preserve">Esta alteração deve sempre ser feita de forma aberta, auditável e de clara compreensão.</t>
  </si>
  <si>
    <t xml:space="preserve">A Empresa deverá sempre demonstrar seus cálculos na aba correspondente a memória de cálculo do cargo.</t>
  </si>
  <si>
    <t xml:space="preserve">Empresa:</t>
  </si>
  <si>
    <t xml:space="preserve">Data:</t>
  </si>
  <si>
    <t xml:space="preserve">Nº do Processo:</t>
  </si>
  <si>
    <t xml:space="preserve">23079.014347/2018-69</t>
  </si>
  <si>
    <t xml:space="preserve">Licitação Nº</t>
  </si>
  <si>
    <t xml:space="preserve">Dia ________/________/________ às _____:______ horas</t>
  </si>
  <si>
    <t xml:space="preserve">DISCRIMINAÇÃO DOS SERVIÇOS </t>
  </si>
  <si>
    <t xml:space="preserve">A</t>
  </si>
  <si>
    <t xml:space="preserve">Data de Apresentação da Proposta (dia/mês/ano):</t>
  </si>
  <si>
    <t xml:space="preserve">B</t>
  </si>
  <si>
    <t xml:space="preserve">Município/UF:</t>
  </si>
  <si>
    <t xml:space="preserve"> Rio de Janeiro / RJ</t>
  </si>
  <si>
    <t xml:space="preserve">C</t>
  </si>
  <si>
    <t xml:space="preserve">Ano do Acordo, Convenção ou Dissídio Coletivo:</t>
  </si>
  <si>
    <t xml:space="preserve">D</t>
  </si>
  <si>
    <t xml:space="preserve">Número de Meses de execução Contratual:</t>
  </si>
  <si>
    <t xml:space="preserve">CBO:</t>
  </si>
  <si>
    <t xml:space="preserve">5173-30</t>
  </si>
  <si>
    <t xml:space="preserve">Piso da Categoria:</t>
  </si>
  <si>
    <t xml:space="preserve">IDENTIFICAÇÃO DO SERVIÇO</t>
  </si>
  <si>
    <t xml:space="preserve">Tipo de serviço</t>
  </si>
  <si>
    <t xml:space="preserve">Unidade de Medida</t>
  </si>
  <si>
    <t xml:space="preserve">Quantidade a contratar</t>
  </si>
  <si>
    <t xml:space="preserve">Valor Estimado</t>
  </si>
  <si>
    <t xml:space="preserve">Postos</t>
  </si>
  <si>
    <t xml:space="preserve">Pessoas</t>
  </si>
  <si>
    <t xml:space="preserve">Total Mensal</t>
  </si>
  <si>
    <t xml:space="preserve">Total Anual</t>
  </si>
  <si>
    <t xml:space="preserve">Lote 1</t>
  </si>
  <si>
    <t xml:space="preserve">Item 1</t>
  </si>
  <si>
    <t xml:space="preserve"> Vigilância armada de 12x36 horas diurnas de Segunda-Feira a Domingo </t>
  </si>
  <si>
    <t xml:space="preserve">Posto com 2 funcionários</t>
  </si>
  <si>
    <t xml:space="preserve">Item 2</t>
  </si>
  <si>
    <t xml:space="preserve"> Vigilância armada de 12x36 horas noturnas de Segunda-Feira a Domingo </t>
  </si>
  <si>
    <t xml:space="preserve">Item 3</t>
  </si>
  <si>
    <t xml:space="preserve">Vigilância armada de 5x2  (10 horas) diurnas de Segunda-Feira a Sexta </t>
  </si>
  <si>
    <t xml:space="preserve">Posto com 1 funcionário</t>
  </si>
  <si>
    <t xml:space="preserve">Item 4</t>
  </si>
  <si>
    <t xml:space="preserve">Vigilância armada de 44h  (8:48 horas) diurnas de Segunda-Feira a Sexta </t>
  </si>
  <si>
    <t xml:space="preserve">Lote 2</t>
  </si>
  <si>
    <t xml:space="preserve">Item 5</t>
  </si>
  <si>
    <t xml:space="preserve">Item 6</t>
  </si>
  <si>
    <t xml:space="preserve">Item 7</t>
  </si>
  <si>
    <t xml:space="preserve">Item 8</t>
  </si>
  <si>
    <t xml:space="preserve">Item 9</t>
  </si>
  <si>
    <t xml:space="preserve"> Vigilância desarmada de 12x36 horas diurnas de Segunda-Feira a Domingo </t>
  </si>
  <si>
    <t xml:space="preserve">Item 10</t>
  </si>
  <si>
    <t xml:space="preserve"> Vigilância desarmada de 12x36 horas noturnas de Segunda-Feira a Domingo </t>
  </si>
  <si>
    <t xml:space="preserve">Lote 3</t>
  </si>
  <si>
    <t xml:space="preserve">Item 11</t>
  </si>
  <si>
    <t xml:space="preserve">Item 12</t>
  </si>
  <si>
    <t xml:space="preserve">Item 13</t>
  </si>
  <si>
    <t xml:space="preserve">Lote 4</t>
  </si>
  <si>
    <t xml:space="preserve">Item 14</t>
  </si>
  <si>
    <t xml:space="preserve">Item 15</t>
  </si>
  <si>
    <t xml:space="preserve">Item 16</t>
  </si>
  <si>
    <t xml:space="preserve">Item 17</t>
  </si>
  <si>
    <t xml:space="preserve">Item 18</t>
  </si>
  <si>
    <t xml:space="preserve">Lote 5</t>
  </si>
  <si>
    <t xml:space="preserve">Item 19</t>
  </si>
  <si>
    <t xml:space="preserve">Item 20</t>
  </si>
  <si>
    <t xml:space="preserve">Item 21</t>
  </si>
  <si>
    <t xml:space="preserve">Item 22</t>
  </si>
  <si>
    <t xml:space="preserve">Lote 6</t>
  </si>
  <si>
    <t xml:space="preserve">Item 23</t>
  </si>
  <si>
    <t xml:space="preserve">Item 24</t>
  </si>
  <si>
    <t xml:space="preserve">Item 25</t>
  </si>
  <si>
    <t xml:space="preserve">Item 26</t>
  </si>
  <si>
    <t xml:space="preserve">Lote 7</t>
  </si>
  <si>
    <t xml:space="preserve">Item 27</t>
  </si>
  <si>
    <t xml:space="preserve">Item 28</t>
  </si>
  <si>
    <t xml:space="preserve">Item 29</t>
  </si>
  <si>
    <t xml:space="preserve">TOTAL MENSAL</t>
  </si>
  <si>
    <t xml:space="preserve">TOTAL ANUAL </t>
  </si>
  <si>
    <t xml:space="preserve">Escala</t>
  </si>
  <si>
    <t xml:space="preserve">Turno/Horário do posto</t>
  </si>
  <si>
    <t xml:space="preserve">Dias da Semana</t>
  </si>
  <si>
    <t xml:space="preserve">LOTE 1</t>
  </si>
  <si>
    <t xml:space="preserve">LOTE 2</t>
  </si>
  <si>
    <t xml:space="preserve">LOTE 3</t>
  </si>
  <si>
    <t xml:space="preserve">LOTE 4</t>
  </si>
  <si>
    <t xml:space="preserve">LOTE 5</t>
  </si>
  <si>
    <t xml:space="preserve">LOTE 6</t>
  </si>
  <si>
    <t xml:space="preserve">LOTE 7</t>
  </si>
  <si>
    <t xml:space="preserve">Qtd. de postos</t>
  </si>
  <si>
    <t xml:space="preserve">Nº estimado de empregados</t>
  </si>
  <si>
    <t xml:space="preserve">ARMADA</t>
  </si>
  <si>
    <t xml:space="preserve">12 X 36h</t>
  </si>
  <si>
    <t xml:space="preserve">Diurno/12h</t>
  </si>
  <si>
    <t xml:space="preserve">Diariamente Seg / Dom </t>
  </si>
  <si>
    <t xml:space="preserve">Noturno/12h</t>
  </si>
  <si>
    <t xml:space="preserve">DESARMADA</t>
  </si>
  <si>
    <t xml:space="preserve">5 X 2 </t>
  </si>
  <si>
    <t xml:space="preserve">Diurno/10h</t>
  </si>
  <si>
    <t xml:space="preserve">Diariamente Seg / Sex</t>
  </si>
  <si>
    <t xml:space="preserve">44h</t>
  </si>
  <si>
    <t xml:space="preserve">Diurno/8:48h</t>
  </si>
  <si>
    <t xml:space="preserve">Valor Estimado por Empregado</t>
  </si>
  <si>
    <t xml:space="preserve">Valor Estimado do Posto</t>
  </si>
  <si>
    <t xml:space="preserve">Estimativa Mensal</t>
  </si>
  <si>
    <t xml:space="preserve">Estimativa Anual</t>
  </si>
  <si>
    <t xml:space="preserve">UNIDADES DO CAMPUS DA CIDADE UNIVERSITÁRIA - ILHA DO FUNDÃO -  MUNICÍPIO DO RIO DE JANEIRO - RJ - LOTE I</t>
  </si>
  <si>
    <t xml:space="preserve">Posto de Localização</t>
  </si>
  <si>
    <t xml:space="preserve">Turno / Horário do posto</t>
  </si>
  <si>
    <t xml:space="preserve">Qtd de Empregados</t>
  </si>
  <si>
    <t xml:space="preserve">Valor Unitário Mensal por Posto</t>
  </si>
  <si>
    <t xml:space="preserve">Valor Unitário Mensal por Empregado</t>
  </si>
  <si>
    <t xml:space="preserve">Valor Mensal </t>
  </si>
  <si>
    <t xml:space="preserve">Valor Anual</t>
  </si>
  <si>
    <t xml:space="preserve">Valor Anual da Unidade</t>
  </si>
  <si>
    <t xml:space="preserve">ALOJAMENTO ESTUDANTIL</t>
  </si>
  <si>
    <t xml:space="preserve">CENTRO NACIONAL DE IDENTIFICAÇÃO MOLECULAR DO PESCADO - CENIMP</t>
  </si>
  <si>
    <t xml:space="preserve">DEPOSITO PATRIMONIO </t>
  </si>
  <si>
    <t xml:space="preserve">ESCOLA DE EDUCAÇÃO FÍSICA E DESPORTO -EEFD</t>
  </si>
  <si>
    <t xml:space="preserve">PREFEITURA UNIVERSITARIA - DIPRO</t>
  </si>
  <si>
    <t xml:space="preserve">INSTITUTO DE BIOLOGIA - IB</t>
  </si>
  <si>
    <t xml:space="preserve">HANGAR </t>
  </si>
  <si>
    <t xml:space="preserve">Valor Mensal do Item</t>
  </si>
  <si>
    <t xml:space="preserve">Valor Anual do Item</t>
  </si>
  <si>
    <t xml:space="preserve">Vigilância armada de 12x36 horas diurnas de Segunda-Feira a Domingo </t>
  </si>
  <si>
    <t xml:space="preserve">Vigilância armada de 12x36 horas noturnas de Segunda-Feira a Domingo </t>
  </si>
  <si>
    <t xml:space="preserve">UNIDADES DO CAMPUS DA CIDADE UNIVERSITÁRIA - ILHA DO FUNDÃO -  MUNICÍPIO DO RIO DE JANEIRO - RJ - LOTE II</t>
  </si>
  <si>
    <t xml:space="preserve">CENTRO DE CIÊNCIAS DA SAÚDE - CCS</t>
  </si>
  <si>
    <t xml:space="preserve">RESTAURANTE UNIVERSITARIO - RU CENTRAL</t>
  </si>
  <si>
    <t xml:space="preserve">FACULDADE DE FARMACIA - FF</t>
  </si>
  <si>
    <t xml:space="preserve">CENTRO NACIONAL DE BIOLOGIA ESTRUTURAL E BIOIMAGEM - CENABIO</t>
  </si>
  <si>
    <t xml:space="preserve">INSTITUTO DE PESQUISA DE PRODUTOS NATURAIS - IPPN</t>
  </si>
  <si>
    <t xml:space="preserve">HOSPITAL UNIVERSITÁRIO CLEMENTINO FRAGA FILHO - HUCFF</t>
  </si>
  <si>
    <t xml:space="preserve">INSTITUTO DE PUERICULTURA MARTAGÃO GESTEIRA</t>
  </si>
  <si>
    <t xml:space="preserve">INSTITUTO DE DOENÇAS DO TORAX - IDT</t>
  </si>
  <si>
    <t xml:space="preserve">FACULDADE DE ODONTOLOGIA</t>
  </si>
  <si>
    <t xml:space="preserve">ESTACIONAMENTO CCS</t>
  </si>
  <si>
    <t xml:space="preserve">ESTACIONAMENTO HU </t>
  </si>
  <si>
    <t xml:space="preserve">ESTAÇÃO DE INTEGRAÇÃO - PU</t>
  </si>
  <si>
    <t xml:space="preserve">INSTITUTO DE CIÊNCIAS BIOMÉDICAS - ICB</t>
  </si>
  <si>
    <t xml:space="preserve">ESCOLA DE EDUCAÇÃO INFANTIL</t>
  </si>
  <si>
    <t xml:space="preserve">Vigilância desarmada de 12x36 horas diurnas de Segunda-Feira a Domingo </t>
  </si>
  <si>
    <t xml:space="preserve">Vigilância desarmada de 12x36 horas noturnas de Segunda-Feira a Domingo </t>
  </si>
  <si>
    <t xml:space="preserve">UNIDADES DO CAMPUS DA CIDADE UNIVERSITÁRIA - ILHA DO FUNDÃO -  MUNICÍPIO DO RIO DE JANEIRO - RJ - LOTE III</t>
  </si>
  <si>
    <t xml:space="preserve">CENTRO DE MEMORIA ACADÊMICA - CMA</t>
  </si>
  <si>
    <t xml:space="preserve">INSTITUTO DE POS-GRADUAÇÃO E PESQUISA EM ADMINISTRAÇÃO - COPPEAD</t>
  </si>
  <si>
    <t xml:space="preserve">DIVISÃO GRÁFICA - DG</t>
  </si>
  <si>
    <t xml:space="preserve">DIVISÃO DE TRANSPORTE - PREFEITURA - DFO</t>
  </si>
  <si>
    <t xml:space="preserve">INCUBADORA DE EMPRESAS - COPPE</t>
  </si>
  <si>
    <t xml:space="preserve">PRÉDIO GETEC -PARQUE TECNOLOGICO - PRÓ-REITORIAS</t>
  </si>
  <si>
    <t xml:space="preserve">CPST - PR-4</t>
  </si>
  <si>
    <t xml:space="preserve">EBA - POS-GRADUAÇÃO</t>
  </si>
  <si>
    <t xml:space="preserve">POLO NÁUTICO</t>
  </si>
  <si>
    <t xml:space="preserve">UNIDADES DO CAMPUS DA CIDADE UNIVERSITÁRIA - ILHA DO FUNDÃO -  MUNICÍPIO DO RIO DE JANEIRO - RJ - LOTE IV</t>
  </si>
  <si>
    <t xml:space="preserve">CENTRO DE CIENCIAS MATEMATICAS E DA NATUREZA - CCMN</t>
  </si>
  <si>
    <t xml:space="preserve">5 X 2</t>
  </si>
  <si>
    <t xml:space="preserve">ESTACIONAMENTO CCMN</t>
  </si>
  <si>
    <t xml:space="preserve">INSTITUTO DE MATEMÁTICA - IMAT</t>
  </si>
  <si>
    <t xml:space="preserve">ALOJAMENTO CCMN EM CONSTRUÇÃO</t>
  </si>
  <si>
    <t xml:space="preserve">ALOJAMENTO EM MÓDULOS</t>
  </si>
  <si>
    <t xml:space="preserve">INSTITUTO DE GEOCIENCIAS - IGEO</t>
  </si>
  <si>
    <t xml:space="preserve">LABORATORIO DE DE APOIO AO DESENVOLVIMENTO TECNOLÓGICO - LADETEC</t>
  </si>
  <si>
    <t xml:space="preserve">UNIDADES DO CAMPUS DA CIDADE UNIVERSITÁRIA - ILHA DO FUNDÃO -  MUNICÍPIO DO RIO DE JANEIRO - RJ - LOTE V</t>
  </si>
  <si>
    <t xml:space="preserve">INSTITUTO DE POS-GRADUAÇÃO E PESQUISA EM ENGENHARIA - COPPE</t>
  </si>
  <si>
    <t xml:space="preserve">CENTRO DE TECNOLOGIA - CT</t>
  </si>
  <si>
    <t xml:space="preserve">ESTACIONAMENTO - CT</t>
  </si>
  <si>
    <t xml:space="preserve">INSTITUTO DE FÍSICA - IF</t>
  </si>
  <si>
    <t xml:space="preserve">ESCOLA POLITÉCNICA</t>
  </si>
  <si>
    <t xml:space="preserve">INSTITUTO DE MACROMOLÉCULAS - IMA</t>
  </si>
  <si>
    <t xml:space="preserve">ANEXO DO INSTITUTO DE MACROMOLÉCULAS - IMA</t>
  </si>
  <si>
    <t xml:space="preserve">POLO DE XISTOQUÍMICA - PXQ</t>
  </si>
  <si>
    <t xml:space="preserve">MONITORAMENTO - PREFEITURA CCO</t>
  </si>
  <si>
    <t xml:space="preserve">UNIDADES DO CAMPUS DA CIDADE UNIVERSITÁRIA - ILHA DO FUNDÃO -  MUNICÍPIO DO RIO DE JANEIRO - RJ - LOTE VI</t>
  </si>
  <si>
    <t xml:space="preserve">FACULDADE DE LETRAS</t>
  </si>
  <si>
    <t xml:space="preserve">ESTACIONAMENTO - LETRAS</t>
  </si>
  <si>
    <t xml:space="preserve">COMPLEXO CFCH - PU</t>
  </si>
  <si>
    <t xml:space="preserve">ESTACIONAMENTO - REITORIA</t>
  </si>
  <si>
    <t xml:space="preserve">PREDIO DA REITORIA - ADMINISTRAÇÃO DA SEDE</t>
  </si>
  <si>
    <t xml:space="preserve">UNIDADES DO CAMPUS DA CIDADE UNIVERSITÁRIA - ILHA DO FUNDÃO -  MUNICÍPIO DO RIO DE JANEIRO - RJ - LOTE VII</t>
  </si>
  <si>
    <t xml:space="preserve">GUARITA DE ACESSOS - PU</t>
  </si>
  <si>
    <t xml:space="preserve">INSTITUTO DE ESTUDOS EM SAUDE COLETIVA - IESC</t>
  </si>
  <si>
    <t xml:space="preserve">PR-5 - DIUC</t>
  </si>
  <si>
    <t xml:space="preserve">PVL - PREFEITURA</t>
  </si>
  <si>
    <t xml:space="preserve">CENTRO DE REFERÊNCIA DA MULHER</t>
  </si>
  <si>
    <t xml:space="preserve">PU - HORTO</t>
  </si>
  <si>
    <t xml:space="preserve">PLANILHA DE CUSTOS E FORMAÇÃO DE PREÇOS - MÃO DE OBRA</t>
  </si>
  <si>
    <t xml:space="preserve">Dados para composição dos custos referentes a mão de obra</t>
  </si>
  <si>
    <t xml:space="preserve">Tipo de Serviço:</t>
  </si>
  <si>
    <t xml:space="preserve">Vigilância Diurno Armada - dom a dom</t>
  </si>
  <si>
    <t xml:space="preserve">Classificação Brasileira de Ocupações (CBO)</t>
  </si>
  <si>
    <t xml:space="preserve">Salário Normativo da Categoria Profissional</t>
  </si>
  <si>
    <t xml:space="preserve">Categoria Profissional </t>
  </si>
  <si>
    <t xml:space="preserve">Vigilantes e Empregados em Empresas de Segurança e Vigilância </t>
  </si>
  <si>
    <t xml:space="preserve">Data-Base da Categoria (dia/mês/ano) </t>
  </si>
  <si>
    <t xml:space="preserve">Módulo 1 - Composição da Remuneração</t>
  </si>
  <si>
    <t xml:space="preserve">Composição da Remuneração</t>
  </si>
  <si>
    <t xml:space="preserve">%</t>
  </si>
  <si>
    <t xml:space="preserve">Valor (R$)</t>
  </si>
  <si>
    <t xml:space="preserve">Salário-Base</t>
  </si>
  <si>
    <t xml:space="preserve">Adicional de Periculosidade</t>
  </si>
  <si>
    <t xml:space="preserve">Adicional de Insalubridade</t>
  </si>
  <si>
    <t xml:space="preserve">Adicional Noturno</t>
  </si>
  <si>
    <t xml:space="preserve">E</t>
  </si>
  <si>
    <t xml:space="preserve">Adicional de Hora Noturna Reduzida</t>
  </si>
  <si>
    <t xml:space="preserve">F</t>
  </si>
  <si>
    <t xml:space="preserve">DSR sobre o Adicional Noturno</t>
  </si>
  <si>
    <t xml:space="preserve">G</t>
  </si>
  <si>
    <t xml:space="preserve">Adicional de Hora Extra no Feriado Trabalhado</t>
  </si>
  <si>
    <t xml:space="preserve">H</t>
  </si>
  <si>
    <t xml:space="preserve">DSR sobre a Hora Extra no Feriado Trabalhado</t>
  </si>
  <si>
    <t xml:space="preserve">I</t>
  </si>
  <si>
    <t xml:space="preserve">Adicional de Liderança / Gratificação de Encarregado</t>
  </si>
  <si>
    <t xml:space="preserve">J</t>
  </si>
  <si>
    <t xml:space="preserve">Intervalo Intrajornada (caso o empregado trabalhe no periodo destinado)</t>
  </si>
  <si>
    <t xml:space="preserve">K</t>
  </si>
  <si>
    <t xml:space="preserve">Outros (especificar)</t>
  </si>
  <si>
    <t xml:space="preserve">TOTAL</t>
  </si>
  <si>
    <t xml:space="preserve">Módulo 2 - Encargos e Benefícios Anuais, Mensais e Diários</t>
  </si>
  <si>
    <t xml:space="preserve">Sub-Módulo 2.1 - 13º Salário, Férias e Adicional de Férias</t>
  </si>
  <si>
    <t xml:space="preserve">2.1</t>
  </si>
  <si>
    <t xml:space="preserve">13º Salário, Férias e Adicional de Férias</t>
  </si>
  <si>
    <t xml:space="preserve">13º Salário</t>
  </si>
  <si>
    <t xml:space="preserve">Férias e Adicional de Férias</t>
  </si>
  <si>
    <t xml:space="preserve">B.1</t>
  </si>
  <si>
    <t xml:space="preserve">Férias </t>
  </si>
  <si>
    <t xml:space="preserve">B.2</t>
  </si>
  <si>
    <t xml:space="preserve">Adicional de Férias</t>
  </si>
  <si>
    <t xml:space="preserve">Sub-Módulo 2.2 - Encargos Previdenciários (GPS), Fundo de Garantia por Tempo de Serviço (FGTS) e outras contribuições</t>
  </si>
  <si>
    <t xml:space="preserve">2.2</t>
  </si>
  <si>
    <t xml:space="preserve">GPS, FGTS e outras contribuições</t>
  </si>
  <si>
    <t xml:space="preserve">INSS</t>
  </si>
  <si>
    <t xml:space="preserve">Salário Educação</t>
  </si>
  <si>
    <t xml:space="preserve">SAT (Risco ambiental do trabalho)</t>
  </si>
  <si>
    <t xml:space="preserve">SESC ou SESI</t>
  </si>
  <si>
    <t xml:space="preserve">SENAI - SENAC</t>
  </si>
  <si>
    <t xml:space="preserve">SEBRAE</t>
  </si>
  <si>
    <t xml:space="preserve">INCRA</t>
  </si>
  <si>
    <t xml:space="preserve">FGTS</t>
  </si>
  <si>
    <t xml:space="preserve">Sub-Módulo 2.3 - Benefícios Mensais e Diários</t>
  </si>
  <si>
    <t xml:space="preserve">2.3</t>
  </si>
  <si>
    <t xml:space="preserve">Benefícios Mensais e Diários</t>
  </si>
  <si>
    <t xml:space="preserve">Transporte</t>
  </si>
  <si>
    <t xml:space="preserve">A.1</t>
  </si>
  <si>
    <t xml:space="preserve">Crédito PIS/COFINS</t>
  </si>
  <si>
    <t xml:space="preserve">Auxílio-Refeição/Alimentação</t>
  </si>
  <si>
    <t xml:space="preserve">Assistência Médica e Familiar</t>
  </si>
  <si>
    <t xml:space="preserve">C.1</t>
  </si>
  <si>
    <t xml:space="preserve">Ajuda de Custo Sindicato Laboral - clausula Décima da CCT</t>
  </si>
  <si>
    <t xml:space="preserve">D.1</t>
  </si>
  <si>
    <t xml:space="preserve">Tx de Custeio Patronal (clausula Quinquagésima Sexta CCT)</t>
  </si>
  <si>
    <t xml:space="preserve">E.1</t>
  </si>
  <si>
    <t xml:space="preserve">Outros (Seguro de Vida / Invalidez / Auxílio Funeral)</t>
  </si>
  <si>
    <t xml:space="preserve">F.1</t>
  </si>
  <si>
    <t xml:space="preserve">Quadro Resumo do Módulo 2 - Encargos e Benefícios anuais, mensais e diários</t>
  </si>
  <si>
    <t xml:space="preserve">Encargos e Benefícios Anuais, Mensais e Diários</t>
  </si>
  <si>
    <t xml:space="preserve">Módulo 3 - Provisão para Rescisão</t>
  </si>
  <si>
    <t xml:space="preserve">Provisão para Rescisão</t>
  </si>
  <si>
    <t xml:space="preserve">Aviso-Prévio Indenizado</t>
  </si>
  <si>
    <t xml:space="preserve">Incidência do FGTS sobre o Aviso-Prévio Indenizado</t>
  </si>
  <si>
    <t xml:space="preserve">Multa sobre FGTS e contribuição social sobre o Aviso Prévio Indenizado</t>
  </si>
  <si>
    <t xml:space="preserve">Aviso-Prévio Trabalhado</t>
  </si>
  <si>
    <t xml:space="preserve">Incidência dos encargos do módulo 2.2 sobre o Aviso-Prévio Trabalhado</t>
  </si>
  <si>
    <t xml:space="preserve">Multa do FGTS e contribuição social sobre o Aviso-Prévio Trabalhado</t>
  </si>
  <si>
    <t xml:space="preserve">Módulo 4 - Custo de Reposição do Profissional Ausente</t>
  </si>
  <si>
    <t xml:space="preserve">Sub-Módulo 4.1 - Ausências Legais</t>
  </si>
  <si>
    <t xml:space="preserve">4.1</t>
  </si>
  <si>
    <t xml:space="preserve">Ausências Legais</t>
  </si>
  <si>
    <t xml:space="preserve">Férias</t>
  </si>
  <si>
    <t xml:space="preserve">Licença Paternidade</t>
  </si>
  <si>
    <t xml:space="preserve">Ausência por acidente de trabalho </t>
  </si>
  <si>
    <r>
      <rPr>
        <sz val="10"/>
        <color rgb="FF000000"/>
        <rFont val="Spranq eco sans"/>
        <family val="2"/>
        <charset val="1"/>
      </rPr>
      <t xml:space="preserve">Afastamento Maternidade (acima de 120 dias)</t>
    </r>
    <r>
      <rPr>
        <vertAlign val="superscript"/>
        <sz val="9"/>
        <color rgb="FF000000"/>
        <rFont val="Spranq eco sans"/>
        <family val="2"/>
        <charset val="1"/>
      </rPr>
      <t xml:space="preserve"> (1)</t>
    </r>
  </si>
  <si>
    <t xml:space="preserve">Ausência por Doença</t>
  </si>
  <si>
    <t xml:space="preserve">Incidência dos encargos do módulo 2.2 sobre o Módulo </t>
  </si>
  <si>
    <t xml:space="preserve">4.1.1</t>
  </si>
  <si>
    <t xml:space="preserve">Afastamento Maternidade (120 dias)</t>
  </si>
  <si>
    <t xml:space="preserve">Férias pagas ao Substituto pelos 120 dias de Reposição</t>
  </si>
  <si>
    <t xml:space="preserve">Incidência dos encargos do módulo 2.2 sobre as Férias pagas ao Subistituto pelos 120 dias de Reposição</t>
  </si>
  <si>
    <t xml:space="preserve">Incidência dos encargos do módulo 2.2 sobre a Remuneração e o 13 salário proporcionais aos 120 dias de Reposição</t>
  </si>
  <si>
    <t xml:space="preserve">4.2</t>
  </si>
  <si>
    <t xml:space="preserve">Intervalo Intrajornada</t>
  </si>
  <si>
    <r>
      <rPr>
        <sz val="10"/>
        <color rgb="FF000000"/>
        <rFont val="Spranq eco sans"/>
        <family val="2"/>
        <charset val="1"/>
      </rPr>
      <t xml:space="preserve">Intervalo de repouso e alimentação (somente se houver cobertura do profissional no período de intervalo para repouso e alimentação) </t>
    </r>
    <r>
      <rPr>
        <vertAlign val="superscript"/>
        <sz val="10"/>
        <color rgb="FF000000"/>
        <rFont val="Spranq eco sans"/>
        <family val="2"/>
        <charset val="1"/>
      </rPr>
      <t xml:space="preserve">(2)</t>
    </r>
  </si>
  <si>
    <t xml:space="preserve">Quadro-Resumo do Módulo 4 - Custo de Reposição do Profissional Ausente</t>
  </si>
  <si>
    <t xml:space="preserve">Total das Ausências Legais</t>
  </si>
  <si>
    <t xml:space="preserve">Módulo 5 - Insumos Diversos</t>
  </si>
  <si>
    <t xml:space="preserve">Insumos Diversos</t>
  </si>
  <si>
    <t xml:space="preserve">Uniformes</t>
  </si>
  <si>
    <t xml:space="preserve">Materiais</t>
  </si>
  <si>
    <t xml:space="preserve">Equipamentos</t>
  </si>
  <si>
    <t xml:space="preserve">Módulo 6 - Custos Indiretos, Tributos e Lucro</t>
  </si>
  <si>
    <t xml:space="preserve">Custos Indiretos, Tributos e Lucro</t>
  </si>
  <si>
    <t xml:space="preserve">Custos Indiretos</t>
  </si>
  <si>
    <t xml:space="preserve">Lucro</t>
  </si>
  <si>
    <t xml:space="preserve">Valor líquido mensal dos serviços (sem os tributos)</t>
  </si>
  <si>
    <t xml:space="preserve">Valor mensal dos serviços (incluindo os tributos) - Base para o cálculo dos tributos</t>
  </si>
  <si>
    <t xml:space="preserve">Tributos</t>
  </si>
  <si>
    <t xml:space="preserve">Tributos Federais</t>
  </si>
  <si>
    <t xml:space="preserve">C.1.1</t>
  </si>
  <si>
    <t xml:space="preserve">PIS</t>
  </si>
  <si>
    <t xml:space="preserve">C.1.2</t>
  </si>
  <si>
    <t xml:space="preserve">COFINS</t>
  </si>
  <si>
    <t xml:space="preserve">C.2</t>
  </si>
  <si>
    <t xml:space="preserve">Tributos Estaduais</t>
  </si>
  <si>
    <t xml:space="preserve">C.2.1</t>
  </si>
  <si>
    <t xml:space="preserve">ICMS</t>
  </si>
  <si>
    <t xml:space="preserve">C.3</t>
  </si>
  <si>
    <t xml:space="preserve">Tributos Municipais</t>
  </si>
  <si>
    <t xml:space="preserve">C.3.1</t>
  </si>
  <si>
    <t xml:space="preserve">ISS</t>
  </si>
  <si>
    <t xml:space="preserve">C.4</t>
  </si>
  <si>
    <t xml:space="preserve">Outros Tributos (especificar)</t>
  </si>
  <si>
    <t xml:space="preserve">QUADRO RESUMO DO CUSTO POR EMPREGADO</t>
  </si>
  <si>
    <t xml:space="preserve">MÓDULO 1 - Composição da Remuneração</t>
  </si>
  <si>
    <t xml:space="preserve">B </t>
  </si>
  <si>
    <t xml:space="preserve">MÓDULO 2 - Encargos e Benefícios Anuais, Mensais e Diários</t>
  </si>
  <si>
    <t xml:space="preserve">MÓDULO 3 - Provisão para Rescisão</t>
  </si>
  <si>
    <t xml:space="preserve">MÓDULO 4 - Custo da Reposição do Profissional Ausente</t>
  </si>
  <si>
    <t xml:space="preserve">MÓDULO 5 - Insumos Diversos</t>
  </si>
  <si>
    <t xml:space="preserve">A + B + C + D + E</t>
  </si>
  <si>
    <t xml:space="preserve">MÓDULO 6 - Custos indiretos, Lucro e Tributos</t>
  </si>
  <si>
    <t xml:space="preserve">VALOR TOTAL POR EMPREGADO</t>
  </si>
  <si>
    <t xml:space="preserve">Reserva Mensal para o Pagamento de Encargos Trabalhistas</t>
  </si>
  <si>
    <t xml:space="preserve">Incidência do Sub-Modulo 2.2 sobre 13º Salário</t>
  </si>
  <si>
    <t xml:space="preserve">F.2</t>
  </si>
  <si>
    <t xml:space="preserve">Incidência do Sub-Modulo 2.2 sobre Férias</t>
  </si>
  <si>
    <t xml:space="preserve">F.3</t>
  </si>
  <si>
    <t xml:space="preserve">Incidência do Sub-Modulo 2.2 sobre Adicional de Férias</t>
  </si>
  <si>
    <r>
      <rPr>
        <vertAlign val="superscript"/>
        <sz val="10"/>
        <color rgb="FF000000"/>
        <rFont val="Spranq eco sans"/>
        <family val="2"/>
        <charset val="1"/>
      </rPr>
      <t xml:space="preserve">(1) </t>
    </r>
    <r>
      <rPr>
        <sz val="10"/>
        <color rgb="FF000000"/>
        <rFont val="Spranq eco sans"/>
        <family val="2"/>
        <charset val="1"/>
      </rPr>
      <t xml:space="preserve">Somente preencher caso, por força de cadastro no Ministério do Trabalho, no programa "Empresa Cidadã", a licença maternidade for superior à 120 dias , considerar aqui somento o custo que superar o período de 120 dias.</t>
    </r>
  </si>
  <si>
    <r>
      <rPr>
        <vertAlign val="superscript"/>
        <sz val="10"/>
        <color rgb="FF000000"/>
        <rFont val="Spranq eco sans"/>
        <family val="2"/>
        <charset val="1"/>
      </rPr>
      <t xml:space="preserve">(2)</t>
    </r>
    <r>
      <rPr>
        <sz val="10"/>
        <color rgb="FF000000"/>
        <rFont val="Spranq eco sans"/>
        <family val="2"/>
        <charset val="1"/>
      </rPr>
      <t xml:space="preserve"> Caso o empregado trabalhe durante o intervalo para repouso e alimentação, o valor deverá ser aportado na alínea "H" do Módulo 1 (Composição da Remuneração) com os devidos reflexos legais (CLT e CCT)</t>
    </r>
  </si>
  <si>
    <t xml:space="preserve">Alíquota PIS/COFINS leis 10.634/2002 e 10.833/2003 </t>
  </si>
  <si>
    <t xml:space="preserve">MEMORIAL DE CÁLCULO  - EMPREGADO 12/36 - DIURNO ARMADO</t>
  </si>
  <si>
    <t xml:space="preserve">Divisor de Horas no mês</t>
  </si>
  <si>
    <t xml:space="preserve">Total de Dias do Ano</t>
  </si>
  <si>
    <t xml:space="preserve">Total de Dias Trabalhados no Mês por empregado</t>
  </si>
  <si>
    <t xml:space="preserve">Total da Remuneração (Módulo 1)</t>
  </si>
  <si>
    <t xml:space="preserve">Memória de Cálculo do Adicional de Hora Extra no Feriado Trabalhado (Módulo 1)</t>
  </si>
  <si>
    <t xml:space="preserve">Custo de Referência</t>
  </si>
  <si>
    <t xml:space="preserve">Custo da Hora</t>
  </si>
  <si>
    <t xml:space="preserve">Número de Feriados</t>
  </si>
  <si>
    <t xml:space="preserve">Número de Horas Trabalhadas </t>
  </si>
  <si>
    <t xml:space="preserve">Total Anual de Horas Trabalhadas</t>
  </si>
  <si>
    <t xml:space="preserve">% de Funcionários Trabalhando durante o feriado</t>
  </si>
  <si>
    <t xml:space="preserve">% de aumento sobre a hora Trabalhada</t>
  </si>
  <si>
    <t xml:space="preserve">Número de meses </t>
  </si>
  <si>
    <t xml:space="preserve">Total do Adicional de Hora Extra no Feriado Trabalhado</t>
  </si>
  <si>
    <t xml:space="preserve">Memória de Cálculo da DSR sobre a Hora Extra no Feriado Trabalhado (Módulo 1)</t>
  </si>
  <si>
    <t xml:space="preserve">Total de Dias do Ano </t>
  </si>
  <si>
    <t xml:space="preserve">Dias ano sem Feriado e Domingo</t>
  </si>
  <si>
    <t xml:space="preserve">Número de Meses</t>
  </si>
  <si>
    <t xml:space="preserve">Sub-Total ((Total de Horas Anuais/Nº de Meses)x Funcionarios Trabalhando durante o feriado)/Dias no ano sem feriados e domingos)</t>
  </si>
  <si>
    <t xml:space="preserve">Total do DSR sobre a Hor Extra no Feriado Trabalhado</t>
  </si>
  <si>
    <t xml:space="preserve">Memória de Cálculo Intervalo IntraJornada Trabalhado (Módulo 1)</t>
  </si>
  <si>
    <t xml:space="preserve">Custo de Referencia</t>
  </si>
  <si>
    <t xml:space="preserve">Total de Horas Mensais cobertas por posto - (Uma hora por dia)</t>
  </si>
  <si>
    <t xml:space="preserve">Percentual Aplicado - CCT</t>
  </si>
  <si>
    <t xml:space="preserve">Intervado Intrajornada</t>
  </si>
  <si>
    <t xml:space="preserve">Memória de Cálculo Adicional Noturno (Módulo 1)</t>
  </si>
  <si>
    <t xml:space="preserve">% de Funcionários Trabalhando </t>
  </si>
  <si>
    <t xml:space="preserve">Número de Horas Noturnas Trabalhadas ( 22:00 às 05:00 (7 horas) )</t>
  </si>
  <si>
    <t xml:space="preserve">Salário Base</t>
  </si>
  <si>
    <t xml:space="preserve">% Adicional Noturno</t>
  </si>
  <si>
    <t xml:space="preserve">Valor da Hora Noturna com Adicional </t>
  </si>
  <si>
    <t xml:space="preserve">Número de Horas Trabalhadas no mês</t>
  </si>
  <si>
    <t xml:space="preserve">Valor do Adicional Noturno</t>
  </si>
  <si>
    <t xml:space="preserve">Memória de Cálculo da DSR sobre o Adicional Noturno (Módulo 1)</t>
  </si>
  <si>
    <t xml:space="preserve">Memória de Cálculo Adicional de Hora Noturna Reduzida (Módulo 1)</t>
  </si>
  <si>
    <t xml:space="preserve">Número de dias trabalhado por funcionário no mês </t>
  </si>
  <si>
    <t xml:space="preserve">Numero de horas noturnas trabalhadas no mês </t>
  </si>
  <si>
    <t xml:space="preserve">Hora Diurna (em minutos)</t>
  </si>
  <si>
    <t xml:space="preserve">Hora Noturna Equivalente (em minutos)</t>
  </si>
  <si>
    <t xml:space="preserve">Coeficente de horas </t>
  </si>
  <si>
    <t xml:space="preserve">Hora Noturna Mensal Ajustada</t>
  </si>
  <si>
    <t xml:space="preserve">Hora Noturna Mensal Ajustada - Hora noturna trabalhada no mês</t>
  </si>
  <si>
    <t xml:space="preserve">Valor da Hora Noturna Reduzida</t>
  </si>
  <si>
    <t xml:space="preserve">Memória de Cálculo Vale Transporte (Módulo 2)</t>
  </si>
  <si>
    <t xml:space="preserve">Número de Vales Transportes / mês</t>
  </si>
  <si>
    <t xml:space="preserve">Valor da Tarifa Modal</t>
  </si>
  <si>
    <t xml:space="preserve">Desconto legal sobre o valor do salário</t>
  </si>
  <si>
    <t xml:space="preserve">Valor do Vale Transporte</t>
  </si>
  <si>
    <t xml:space="preserve">Memória de Cálculo Vale Alimentação (Módulo 2)</t>
  </si>
  <si>
    <t xml:space="preserve">Valor do Vale Alimentação / Refeição</t>
  </si>
  <si>
    <t xml:space="preserve">Desconto legal </t>
  </si>
  <si>
    <t xml:space="preserve">Memória de Cálculo Aviso Prévio Indenizado (Módulo 3)</t>
  </si>
  <si>
    <t xml:space="preserve">Total da Remuneração</t>
  </si>
  <si>
    <t xml:space="preserve">Número de Meses do Ano</t>
  </si>
  <si>
    <t xml:space="preserve">Porcentagem de dispensa sem justa causa com Aviso Prévio Indenizado</t>
  </si>
  <si>
    <t xml:space="preserve">Valor do Aviso Prévio Indenizado</t>
  </si>
  <si>
    <t xml:space="preserve">Memória de Cálculo Multa FGTS e Contribuição Social sobre o Aviso Prévio Indenizado (Módulo 3)</t>
  </si>
  <si>
    <t xml:space="preserve">Porcentagem de dispensas sem justa Causa Com Aviso Prévio Indenizado</t>
  </si>
  <si>
    <t xml:space="preserve">Total de Remuneração</t>
  </si>
  <si>
    <t xml:space="preserve">Base de Cálculo</t>
  </si>
  <si>
    <t xml:space="preserve">Multa sobre FGTS</t>
  </si>
  <si>
    <t xml:space="preserve">Alíquiota mensal de Recolhimento do FGTS</t>
  </si>
  <si>
    <t xml:space="preserve">Valor da Multa FGTS sobre Aviso Prévio Indenizado</t>
  </si>
  <si>
    <t xml:space="preserve">Multa sobre Contribuição Social</t>
  </si>
  <si>
    <t xml:space="preserve">Valor da Multa sobre Contribuição Social</t>
  </si>
  <si>
    <t xml:space="preserve">Valor da Multa FGTS e Contribuição Social sobre o Aviso Prévio Indenizado </t>
  </si>
  <si>
    <t xml:space="preserve">Memória de Cálculo Aviso Prévio Trabalhado (Módulo 3)</t>
  </si>
  <si>
    <t xml:space="preserve">Dias do Mês</t>
  </si>
  <si>
    <t xml:space="preserve">Número de dias de redução de jornada</t>
  </si>
  <si>
    <t xml:space="preserve">Porcentagem de dispensa sem justa causa com Aviso Prévio Trabalhado</t>
  </si>
  <si>
    <t xml:space="preserve">Valor do Aviso Prévio Trabalhado</t>
  </si>
  <si>
    <t xml:space="preserve">Memória de Cálculo Multa FGTS e Contribuição Social sobre o Aviso Prévio Trabalhado (Módulo 3)</t>
  </si>
  <si>
    <t xml:space="preserve">Porcentagem de dispensas sem justa Causa Com Aviso Prévio Trabalhado</t>
  </si>
  <si>
    <t xml:space="preserve">Valor da Multa FGTS e Contribuição Social sobre o Aviso Prévio Trabalhado</t>
  </si>
  <si>
    <t xml:space="preserve">Memória de Cálculo Férias (Módulo 4)</t>
  </si>
  <si>
    <t xml:space="preserve"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</si>
  <si>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 xml:space="preserve">Memória de Cálculo Ausencias Legais (Módulo 4)</t>
  </si>
  <si>
    <t xml:space="preserve">Total de Remuneração </t>
  </si>
  <si>
    <t xml:space="preserve">Meses do Ano</t>
  </si>
  <si>
    <t xml:space="preserve">Média de Ausencias por Ano </t>
  </si>
  <si>
    <t xml:space="preserve">Valor das Ausencias Legais </t>
  </si>
  <si>
    <t xml:space="preserve">Memória de Cálculo Licença-Paternidade (Módulo 4)</t>
  </si>
  <si>
    <t xml:space="preserve">Média de Dias de Licença por ano </t>
  </si>
  <si>
    <t xml:space="preserve">Porcentagem de incidência de ocorrência da Licença-Paternidade</t>
  </si>
  <si>
    <t xml:space="preserve">Porcentagem de mão de obra masculina contratada</t>
  </si>
  <si>
    <t xml:space="preserve">Valor da Licença-Paternidade </t>
  </si>
  <si>
    <t xml:space="preserve">Memória de Cálculo Ausencia por Acidente de Trabalho (Módulo 4)</t>
  </si>
  <si>
    <t xml:space="preserve">Média de dias pagos pela empresa</t>
  </si>
  <si>
    <t xml:space="preserve">Porcentagem de ocorrência de acidentes de trabalho </t>
  </si>
  <si>
    <t xml:space="preserve">Valor da Ausencia por Acidente de Trabalho</t>
  </si>
  <si>
    <t xml:space="preserve">Memória de Cálculo Ausencia por Doença (Módulo 4)</t>
  </si>
  <si>
    <t xml:space="preserve">Porcentagem de ocorrência por doença</t>
  </si>
  <si>
    <t xml:space="preserve">Valor da Ausencia por Doença</t>
  </si>
  <si>
    <t xml:space="preserve">Memória de Cálculo Intervalo IntraJornada com cobertura (Módulo 4)</t>
  </si>
  <si>
    <t xml:space="preserve">Total de Horas Mensais cobertas por posto</t>
  </si>
  <si>
    <t xml:space="preserve">Memória de Cálculo Afastamento Maternidade (Módulo 4)</t>
  </si>
  <si>
    <t xml:space="preserve">Férias pagas ao Substituto pelos 120 dias de reposição</t>
  </si>
  <si>
    <t xml:space="preserve">Terço Constitucional </t>
  </si>
  <si>
    <t xml:space="preserve">Meses de Afastamento </t>
  </si>
  <si>
    <t xml:space="preserve">Porcentagem de ocorrência do Afastamento Maternidade</t>
  </si>
  <si>
    <t xml:space="preserve">Porcentagem de mão de obra feminina contratada</t>
  </si>
  <si>
    <t xml:space="preserve">Valor da Licença-Maternidade - Férias do Substituto</t>
  </si>
  <si>
    <t xml:space="preserve">Incidência dos encargos (módulo 2.2) - proporcionais 120 dias de Reposição</t>
  </si>
  <si>
    <t xml:space="preserve">Incidência dos encargos (módulo 2.2) </t>
  </si>
  <si>
    <t xml:space="preserve">Valor da Licença-Maternidade - Incidência de Encargos</t>
  </si>
  <si>
    <t xml:space="preserve">Vigilância Noturna Armada - dom a dom</t>
  </si>
  <si>
    <t xml:space="preserve">1.1</t>
  </si>
  <si>
    <t xml:space="preserve">MEMORIAL DE CÁLCULO  - EMPREGADO 12/36 - NOTURNO ARMADO</t>
  </si>
  <si>
    <t xml:space="preserve">Número de Horas Noturnas Trabalhadas ( 22:00 às 05:00 (7 horas)</t>
  </si>
  <si>
    <t xml:space="preserve">Vigilância Diurno Armada - 12h Seg a Sex</t>
  </si>
  <si>
    <t xml:space="preserve">Adicional de Hora Extra</t>
  </si>
  <si>
    <t xml:space="preserve">L</t>
  </si>
  <si>
    <t xml:space="preserve">MEMORIAL DE CÁLCULO  - EMPREGADO 12h seg a sex - DIURNO ARMADO</t>
  </si>
  <si>
    <t xml:space="preserve">Divisor de Horas no mês - CCT</t>
  </si>
  <si>
    <t xml:space="preserve">Memória de Cálculo do Adicional de Hora Extra (Módulo 1)</t>
  </si>
  <si>
    <t xml:space="preserve">Percentual Aplicado para acréscimo - CCT</t>
  </si>
  <si>
    <t xml:space="preserve">Valor de 1 (uma ) da Hora Extra</t>
  </si>
  <si>
    <t xml:space="preserve">Número de Horas trabalhadas / dia</t>
  </si>
  <si>
    <t xml:space="preserve">Máximo de Horas mensais sem adicional </t>
  </si>
  <si>
    <t xml:space="preserve">Total de Horas trabalhadas no mês</t>
  </si>
  <si>
    <t xml:space="preserve">Total de Horas Extras à serem pagas</t>
  </si>
  <si>
    <t xml:space="preserve">Valor Total do Adicional de Hora Extra</t>
  </si>
  <si>
    <t xml:space="preserve">Desconto legal</t>
  </si>
  <si>
    <t xml:space="preserve">Vigilância Diurno Armada - 44h Seg a Sex</t>
  </si>
  <si>
    <t xml:space="preserve">MEMORIAL DE CÁLCULO  - EMPREGADO 44h seg a sex - DIURNO ARMADO</t>
  </si>
  <si>
    <t xml:space="preserve">Número de Horas Noturnas Trabalhadas ( 22:00 às 05:00 (7 horas))</t>
  </si>
  <si>
    <t xml:space="preserve">Vigilância Diurno Desarmada - dom a dom</t>
  </si>
  <si>
    <t xml:space="preserve">MEMORIAL DE CÁLCULO  - EMPREGADO 12/36 - DIURNO DESARMADO</t>
  </si>
  <si>
    <t xml:space="preserve">Vigilância Noturna Desarmada - dom a dom</t>
  </si>
  <si>
    <t xml:space="preserve">MEMORIAL DE CÁLCULO  - EMPREGADO 12/36 - NOTURNO DESARMADO</t>
  </si>
  <si>
    <t xml:space="preserve">DIURNO ARMADO - UNIFORMES </t>
  </si>
  <si>
    <t xml:space="preserve">ITEM</t>
  </si>
  <si>
    <t xml:space="preserve">VIDA ÚTIL (MESES)</t>
  </si>
  <si>
    <t xml:space="preserve">ENTREGA SEMESTRAL AO EMPREGADO</t>
  </si>
  <si>
    <t xml:space="preserve">ENTREGA ANUAL AO EMPREGADO</t>
  </si>
  <si>
    <t xml:space="preserve">VALOR UNIT </t>
  </si>
  <si>
    <t xml:space="preserve">VALOR MENSAL POR EMPREGADO</t>
  </si>
  <si>
    <t xml:space="preserve">CALÇA</t>
  </si>
  <si>
    <t xml:space="preserve">CAMISA MANGA COMPRIDA</t>
  </si>
  <si>
    <t xml:space="preserve">CAMISA DE MANGA</t>
  </si>
  <si>
    <t xml:space="preserve">COTURNO EM LONA E ANTIDERRAPANTE</t>
  </si>
  <si>
    <t xml:space="preserve">CINTO DE NYLON</t>
  </si>
  <si>
    <t xml:space="preserve">JAQUETA DE FRIO OU JAPONA</t>
  </si>
  <si>
    <t xml:space="preserve">CAPA DE NYLON</t>
  </si>
  <si>
    <t xml:space="preserve">QUEPE/BONÉ</t>
  </si>
  <si>
    <t xml:space="preserve">CRACHÁ DE IDENTIFICAÇÃO</t>
  </si>
  <si>
    <t xml:space="preserve">DIURNO ARMADO - EQUIPAMENTOS E COMPLEMENTOS </t>
  </si>
  <si>
    <t xml:space="preserve">QTD POR  EMPREGADO</t>
  </si>
  <si>
    <t xml:space="preserve">CASSETETE</t>
  </si>
  <si>
    <t xml:space="preserve">PORTA CASSETETE </t>
  </si>
  <si>
    <t xml:space="preserve">APITO</t>
  </si>
  <si>
    <t xml:space="preserve">CORDÃO DE APITO</t>
  </si>
  <si>
    <t xml:space="preserve">RÁDIO COMUNICADOR </t>
  </si>
  <si>
    <t xml:space="preserve">REVÓLVER CALIBRE 38 </t>
  </si>
  <si>
    <t xml:space="preserve">CINTURÃO PARA REVÓLVER</t>
  </si>
  <si>
    <t xml:space="preserve">COLDRE </t>
  </si>
  <si>
    <t xml:space="preserve">MUNIÇÃO CALIBRE 38 </t>
  </si>
  <si>
    <t xml:space="preserve">COLETE À PROVA DE BALAS</t>
  </si>
  <si>
    <t xml:space="preserve">CAPA PARA COLETE BALÍSTICO</t>
  </si>
  <si>
    <t xml:space="preserve">(1) estimou-se a utilização de rádios, cassetetes , porta cassetetes e outros  no período de uso de 24 horas diárias.  Desta
forma para cada posto foi considerado a fração de sua utilização em 50% (25% para cada empregado)</t>
  </si>
  <si>
    <t xml:space="preserve">(2) Para efeito de estimativa de cálculo, adotamos o percentual de 60% (30% para cada empregado) para utilização de armas, munições, coldres e cinturões conforme a legislação vigente que prevê que o número de armas em poder das empresas de segurança será o equivalente de 50% do efetivo de vigilantes, acrescida de reserva de 20% sobre o número resultante, em conjunto com o período de uso de 24 horas diárias</t>
  </si>
  <si>
    <t xml:space="preserve">NOTURNO ARMADO - UNIFORMES </t>
  </si>
  <si>
    <t xml:space="preserve">VALOR UNIT</t>
  </si>
  <si>
    <t xml:space="preserve">Valor por posto </t>
  </si>
  <si>
    <t xml:space="preserve">NOTURNO ARMADO - EQUIPAMENTOS E COMPLEMENTOS </t>
  </si>
  <si>
    <t xml:space="preserve">QTD POR EMPREGADO</t>
  </si>
  <si>
    <t xml:space="preserve">CASSETETE (1)</t>
  </si>
  <si>
    <t xml:space="preserve">PORTA CASSETETE (1)</t>
  </si>
  <si>
    <t xml:space="preserve">RÁDIO COMUNICADOR (1)</t>
  </si>
  <si>
    <t xml:space="preserve">REVÓLVER CALIBRE 38 (2)</t>
  </si>
  <si>
    <t xml:space="preserve">CINTURÃO PARA REVÓLVER (2)</t>
  </si>
  <si>
    <t xml:space="preserve">COLDRE (2)</t>
  </si>
  <si>
    <t xml:space="preserve">MUNIÇÃO CALIBRE 38 (2)</t>
  </si>
  <si>
    <t xml:space="preserve">LANTERNA RECARREGÁVEL 15 LEDS</t>
  </si>
  <si>
    <t xml:space="preserve">5x2 - 12h e 44h seg a sex DIURNO ARMADO - UNIFORMES </t>
  </si>
  <si>
    <t xml:space="preserve">DIURNO DESARMADO - UNIFORMES </t>
  </si>
  <si>
    <t xml:space="preserve">DIURNO DESARMADO - EQUIPAMENTOS E COMPLEMENTOS </t>
  </si>
  <si>
    <t xml:space="preserve">(1) estimou-se a utilização de rádios no período de uso de 24 horas diárias.  Desta
forma para cada posto foi considerado a fração de sua utilização em 50% (25% para cada empregado)</t>
  </si>
  <si>
    <t xml:space="preserve">NOTURNO DESARMADO - UNIFORMES </t>
  </si>
  <si>
    <t xml:space="preserve">NOTURNO DESARMADO - EQUIPAMENTOS E COMPLEMENTOS </t>
  </si>
  <si>
    <t xml:space="preserve">QTD POR POSTO (COMPOSTO POR 2 EMPREGADOS)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</si>
</sst>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_-&quot;R$ &quot;* #,##0.00_-;&quot;-R$ &quot;* #,##0.00_-;_-&quot;R$ &quot;* \-??_-;_-@_-"/>
    <numFmt numFmtId="166" formatCode="MMM/YY"/>
    <numFmt numFmtId="167" formatCode="0%"/>
    <numFmt numFmtId="168" formatCode="#,##0.00_);\(#,##0.00\)"/>
    <numFmt numFmtId="169" formatCode="0.00%"/>
    <numFmt numFmtId="170" formatCode="&quot;R$ &quot;#,##0.00;[RED]&quot;-R$ &quot;#,##0.00"/>
    <numFmt numFmtId="171" formatCode="&quot;R$ &quot;#,##0.00_);&quot;(R$ &quot;#,##0.00\)"/>
    <numFmt numFmtId="172" formatCode="0.00"/>
    <numFmt numFmtId="173" formatCode="#,##0_ ;\-#,##0\ "/>
    <numFmt numFmtId="174" formatCode="0_ ;\-0\ "/>
    <numFmt numFmtId="175" formatCode="_(&quot;R$ &quot;* #,##0.00_);_(&quot;R$ &quot;* \(#,##0.00\);_(&quot;R$ &quot;* \-??_);_(@_)"/>
    <numFmt numFmtId="176" formatCode="_(* #,##0_);_(* \(#,##0\);_(* \-??_);_(@_)"/>
  </numFmts>
  <fonts count="38">
    <font>
      <sz val="10"/>
      <color rgb="FF000000"/>
      <name val="Spranq eco sans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Spranq eco sans"/>
      <family val="2"/>
      <charset val="1"/>
    </font>
    <font>
      <sz val="18"/>
      <color rgb="FF000000"/>
      <name val="Spranq eco sans"/>
      <family val="2"/>
      <charset val="1"/>
    </font>
    <font>
      <sz val="12"/>
      <color rgb="FF000000"/>
      <name val="Spranq eco sans"/>
      <family val="2"/>
      <charset val="1"/>
    </font>
    <font>
      <sz val="10"/>
      <color rgb="FF333333"/>
      <name val="Spranq eco sans"/>
      <family val="2"/>
      <charset val="1"/>
    </font>
    <font>
      <i val="true"/>
      <sz val="10"/>
      <color rgb="FF808080"/>
      <name val="Spranq eco sans"/>
      <family val="2"/>
      <charset val="1"/>
    </font>
    <font>
      <sz val="10"/>
      <color rgb="FF006600"/>
      <name val="Spranq eco sans"/>
      <family val="2"/>
      <charset val="1"/>
    </font>
    <font>
      <sz val="10"/>
      <color rgb="FF996600"/>
      <name val="Spranq eco sans"/>
      <family val="2"/>
      <charset val="1"/>
    </font>
    <font>
      <sz val="10"/>
      <color rgb="FFCC0000"/>
      <name val="Spranq eco sans"/>
      <family val="2"/>
      <charset val="1"/>
    </font>
    <font>
      <b val="true"/>
      <sz val="10"/>
      <color rgb="FFFFFFFF"/>
      <name val="Spranq eco sans"/>
      <family val="2"/>
      <charset val="1"/>
    </font>
    <font>
      <b val="true"/>
      <sz val="10"/>
      <color rgb="FF000000"/>
      <name val="Spranq eco sans"/>
      <family val="2"/>
      <charset val="1"/>
    </font>
    <font>
      <sz val="10"/>
      <color rgb="FFFFFFFF"/>
      <name val="Spranq eco sans"/>
      <family val="2"/>
      <charset val="1"/>
    </font>
    <font>
      <b val="true"/>
      <sz val="14"/>
      <color rgb="FF000000"/>
      <name val="Spranq eco sans"/>
      <family val="2"/>
      <charset val="1"/>
    </font>
    <font>
      <sz val="11"/>
      <color rgb="FF000000"/>
      <name val="Spranq eco sans"/>
      <family val="2"/>
      <charset val="1"/>
    </font>
    <font>
      <sz val="8"/>
      <name val="Spranq eco sans"/>
      <family val="2"/>
      <charset val="1"/>
    </font>
    <font>
      <sz val="8"/>
      <color rgb="FF000000"/>
      <name val="Spranq eco sans"/>
      <family val="2"/>
      <charset val="1"/>
    </font>
    <font>
      <sz val="11"/>
      <color rgb="FF000000"/>
      <name val="Calibri"/>
      <family val="2"/>
      <charset val="1"/>
    </font>
    <font>
      <sz val="7"/>
      <color rgb="FF000000"/>
      <name val="Spranq eco sans"/>
      <family val="2"/>
      <charset val="1"/>
    </font>
    <font>
      <b val="true"/>
      <sz val="9"/>
      <color rgb="FF000000"/>
      <name val="Spranq eco sans"/>
      <family val="2"/>
      <charset val="1"/>
    </font>
    <font>
      <sz val="9"/>
      <color rgb="FF000000"/>
      <name val="Spranq eco sans"/>
      <family val="2"/>
      <charset val="1"/>
    </font>
    <font>
      <b val="true"/>
      <sz val="8"/>
      <color rgb="FF000000"/>
      <name val="Spranq eco sans"/>
      <family val="2"/>
      <charset val="1"/>
    </font>
    <font>
      <b val="true"/>
      <sz val="8"/>
      <name val="Spranq eco sans"/>
      <family val="2"/>
      <charset val="1"/>
    </font>
    <font>
      <b val="true"/>
      <sz val="11"/>
      <color rgb="FFFFFFFF"/>
      <name val="Spranq eco sans"/>
      <family val="2"/>
      <charset val="1"/>
    </font>
    <font>
      <b val="true"/>
      <sz val="9"/>
      <color rgb="FFFFFFFF"/>
      <name val="Spranq eco sans"/>
      <family val="2"/>
      <charset val="1"/>
    </font>
    <font>
      <b val="true"/>
      <sz val="7"/>
      <color rgb="FFFFFFFF"/>
      <name val="Spranq eco sans"/>
      <family val="2"/>
      <charset val="1"/>
    </font>
    <font>
      <b val="true"/>
      <sz val="8"/>
      <color rgb="FFFFFFFF"/>
      <name val="Spranq eco sans"/>
      <family val="2"/>
      <charset val="1"/>
    </font>
    <font>
      <sz val="7"/>
      <name val="Spranq eco sans"/>
      <family val="2"/>
      <charset val="1"/>
    </font>
    <font>
      <sz val="9"/>
      <name val="Spranq eco sans"/>
      <family val="2"/>
      <charset val="1"/>
    </font>
    <font>
      <sz val="10"/>
      <name val="Spranq eco sans"/>
      <family val="2"/>
      <charset val="1"/>
    </font>
    <font>
      <b val="true"/>
      <sz val="9"/>
      <name val="Spranq eco sans"/>
      <family val="2"/>
      <charset val="1"/>
    </font>
    <font>
      <sz val="10"/>
      <color rgb="FFFF0000"/>
      <name val="Spranq eco sans"/>
      <family val="2"/>
      <charset val="1"/>
    </font>
    <font>
      <i val="true"/>
      <sz val="10"/>
      <color rgb="FF000000"/>
      <name val="Spranq eco sans"/>
      <family val="2"/>
      <charset val="1"/>
    </font>
    <font>
      <vertAlign val="superscript"/>
      <sz val="9"/>
      <color rgb="FF000000"/>
      <name val="Spranq eco sans"/>
      <family val="2"/>
      <charset val="1"/>
    </font>
    <font>
      <vertAlign val="superscript"/>
      <sz val="10"/>
      <color rgb="FF000000"/>
      <name val="Spranq eco sans"/>
      <family val="2"/>
      <charset val="1"/>
    </font>
    <font>
      <b val="true"/>
      <sz val="13"/>
      <color rgb="FF000000"/>
      <name val="Spranq eco sans"/>
      <family val="2"/>
      <charset val="1"/>
    </font>
  </fonts>
  <fills count="2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F2F2F2"/>
      </patternFill>
    </fill>
    <fill>
      <patternFill patternType="solid">
        <fgColor rgb="FFFFCCCC"/>
        <bgColor rgb="FFFAC090"/>
      </patternFill>
    </fill>
    <fill>
      <patternFill patternType="solid">
        <fgColor rgb="FFCC0000"/>
        <bgColor rgb="FFFF0000"/>
      </patternFill>
    </fill>
    <fill>
      <patternFill patternType="solid">
        <fgColor rgb="FF000000"/>
        <bgColor rgb="FF0D0D0D"/>
      </patternFill>
    </fill>
    <fill>
      <patternFill patternType="solid">
        <fgColor rgb="FF808080"/>
        <bgColor rgb="FF77933C"/>
      </patternFill>
    </fill>
    <fill>
      <patternFill patternType="solid">
        <fgColor rgb="FFDDDDDD"/>
        <bgColor rgb="FFD9D9D9"/>
      </patternFill>
    </fill>
    <fill>
      <patternFill patternType="solid">
        <fgColor rgb="FFBFBFBF"/>
        <bgColor rgb="FFCCC1DA"/>
      </patternFill>
    </fill>
    <fill>
      <patternFill patternType="solid">
        <fgColor rgb="FFC6D9F1"/>
        <bgColor rgb="FFB9CDE5"/>
      </patternFill>
    </fill>
    <fill>
      <patternFill patternType="solid">
        <fgColor rgb="FFCCC1DA"/>
        <bgColor rgb="FFBFBFBF"/>
      </patternFill>
    </fill>
    <fill>
      <patternFill patternType="solid">
        <fgColor rgb="FFA6A6A6"/>
        <bgColor rgb="FFB3A2C7"/>
      </patternFill>
    </fill>
    <fill>
      <patternFill patternType="solid">
        <fgColor rgb="FFF2F2F2"/>
        <bgColor rgb="FFFFFFFF"/>
      </patternFill>
    </fill>
    <fill>
      <patternFill patternType="solid">
        <fgColor rgb="FF595959"/>
        <bgColor rgb="FF604A7B"/>
      </patternFill>
    </fill>
    <fill>
      <patternFill patternType="solid">
        <fgColor rgb="FFD9D9D9"/>
        <bgColor rgb="FFDDDDDD"/>
      </patternFill>
    </fill>
    <fill>
      <patternFill patternType="solid">
        <fgColor rgb="FF0D0D0D"/>
        <bgColor rgb="FF000000"/>
      </patternFill>
    </fill>
    <fill>
      <patternFill patternType="solid">
        <fgColor rgb="FFB9CDE5"/>
        <bgColor rgb="FFC6D9F1"/>
      </patternFill>
    </fill>
    <fill>
      <patternFill patternType="solid">
        <fgColor rgb="FFC3D69B"/>
        <bgColor rgb="FFC4BD97"/>
      </patternFill>
    </fill>
    <fill>
      <patternFill patternType="solid">
        <fgColor rgb="FFB3A2C7"/>
        <bgColor rgb="FFA6A6A6"/>
      </patternFill>
    </fill>
    <fill>
      <patternFill patternType="solid">
        <fgColor rgb="FF77E57C"/>
        <bgColor rgb="FFC3D69B"/>
      </patternFill>
    </fill>
    <fill>
      <patternFill patternType="solid">
        <fgColor rgb="FFFAC090"/>
        <bgColor rgb="FFFFCCCC"/>
      </patternFill>
    </fill>
    <fill>
      <patternFill patternType="solid">
        <fgColor rgb="FFC4BD97"/>
        <bgColor rgb="FFBFBFBF"/>
      </patternFill>
    </fill>
  </fills>
  <borders count="50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thin"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/>
      <top style="medium"/>
      <bottom style="medium"/>
      <diagonal/>
    </border>
    <border diagonalUp="false" diagonalDown="false">
      <left/>
      <right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medium"/>
      <bottom/>
      <diagonal/>
    </border>
    <border diagonalUp="false" diagonalDown="false">
      <left/>
      <right style="medium"/>
      <top style="medium"/>
      <bottom/>
      <diagonal/>
    </border>
    <border diagonalUp="false" diagonalDown="false">
      <left style="medium"/>
      <right/>
      <top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/>
      <top style="medium"/>
      <bottom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/>
      <top style="medium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 style="thin"/>
      <top/>
      <bottom style="thin"/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7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</cellStyleXfs>
  <cellXfs count="41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10" borderId="5" xfId="0" applyFont="fals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10" borderId="7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8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8" fillId="1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10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center" textRotation="9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9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9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3" fillId="9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3" fillId="0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8" fillId="0" borderId="7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8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3" fillId="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23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24" fillId="0" borderId="7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4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24" fillId="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5" fillId="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6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6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6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1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1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22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2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6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6" borderId="2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8" fillId="6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3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3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2" fillId="6" borderId="3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3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1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6" fillId="6" borderId="3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3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9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7" xfId="0" applyFont="false" applyBorder="true" applyAlignment="true" applyProtection="false">
      <alignment horizontal="right" vertical="center" textRotation="0" wrapText="true" indent="0" shrinkToFit="false"/>
      <protection locked="true" hidden="false"/>
    </xf>
    <xf numFmtId="165" fontId="0" fillId="0" borderId="7" xfId="17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6" borderId="3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26" fillId="6" borderId="3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1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3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9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0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2" fillId="6" borderId="4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6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3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6" borderId="4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6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2" fillId="6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39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5" fillId="6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0" fillId="0" borderId="1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2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4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4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4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3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3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4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6" borderId="4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6" borderId="4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2" fillId="6" borderId="43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8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4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6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2" fillId="6" borderId="4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1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1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1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0" fillId="10" borderId="7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11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11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3" fillId="12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9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9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18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9" borderId="3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9" borderId="4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9" borderId="3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0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13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3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13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13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34" fillId="0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34" fillId="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12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9" borderId="3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9" borderId="1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9" borderId="1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3" fillId="9" borderId="7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13" fillId="9" borderId="7" xfId="17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14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4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1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1" fillId="1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17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1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3" fillId="9" borderId="7" xfId="19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13" fillId="9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1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12" borderId="7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3" fillId="1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0" fillId="0" borderId="7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15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5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15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3" fillId="1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1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3" fillId="15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3" fillId="15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9" fontId="13" fillId="9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7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3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3" fillId="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16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12" fillId="16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0" fillId="0" borderId="7" xfId="19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12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6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37" fillId="11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4" fillId="14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4" fillId="0" borderId="7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14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14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14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34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3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34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9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2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17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17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10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13" fillId="15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3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14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7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4" fontId="0" fillId="14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12" borderId="7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0" fillId="18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8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8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8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18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18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9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1" fontId="17" fillId="0" borderId="7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3" fillId="9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7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2" fillId="16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37" fillId="18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9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9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19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19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19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19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2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0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0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0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20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9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2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1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1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1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1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21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21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7" fillId="21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22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22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3" fillId="22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2" borderId="7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0" fillId="22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0" fillId="22" borderId="7" xfId="0" applyFont="fals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37" fillId="2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0" borderId="7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32" fillId="0" borderId="7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5" fontId="22" fillId="1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22" fillId="0" borderId="7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22" fillId="0" borderId="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22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21" fillId="0" borderId="39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5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6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5" fontId="22" fillId="0" borderId="0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75" fontId="22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21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21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21" fillId="0" borderId="3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5" fontId="32" fillId="0" borderId="39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2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6" fontId="22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</cellXfs>
  <cellStyles count="22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996600"/>
      <rgbColor rgb="FF800080"/>
      <rgbColor rgb="FF008080"/>
      <rgbColor rgb="FFBFBFBF"/>
      <rgbColor rgb="FF808080"/>
      <rgbColor rgb="FFCCC1DA"/>
      <rgbColor rgb="FF595959"/>
      <rgbColor rgb="FFFFFFCC"/>
      <rgbColor rgb="FFF2F2F2"/>
      <rgbColor rgb="FF660066"/>
      <rgbColor rgb="FFC4BD97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D9D9D9"/>
      <rgbColor rgb="FFB9CDE5"/>
      <rgbColor rgb="FFFFCCCC"/>
      <rgbColor rgb="FFB3A2C7"/>
      <rgbColor rgb="FFFAC090"/>
      <rgbColor rgb="FF3366FF"/>
      <rgbColor rgb="FF33CCCC"/>
      <rgbColor rgb="FF77E57C"/>
      <rgbColor rgb="FFC3D69B"/>
      <rgbColor rgb="FFFF9900"/>
      <rgbColor rgb="FFE46C0A"/>
      <rgbColor rgb="FF604A7B"/>
      <rgbColor rgb="FFA6A6A6"/>
      <rgbColor rgb="FF003366"/>
      <rgbColor rgb="FF77933C"/>
      <rgbColor rgb="FF0D0D0D"/>
      <rgbColor rgb="FF262626"/>
      <rgbColor rgb="FF993300"/>
      <rgbColor rgb="FF993366"/>
      <rgbColor rgb="FF4A452A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worksheet" Target="worksheets/sheet13.xml"/><Relationship Id="rId15" Type="http://schemas.openxmlformats.org/officeDocument/2006/relationships/worksheet" Target="worksheets/sheet14.xml"/><Relationship Id="rId16" Type="http://schemas.openxmlformats.org/officeDocument/2006/relationships/worksheet" Target="worksheets/sheet15.xml"/><Relationship Id="rId17" Type="http://schemas.openxmlformats.org/officeDocument/2006/relationships/worksheet" Target="worksheets/sheet16.xml"/><Relationship Id="rId18" Type="http://schemas.openxmlformats.org/officeDocument/2006/relationships/worksheet" Target="worksheets/sheet17.xml"/><Relationship Id="rId19" Type="http://schemas.openxmlformats.org/officeDocument/2006/relationships/worksheet" Target="worksheets/sheet18.xml"/><Relationship Id="rId20" Type="http://schemas.openxmlformats.org/officeDocument/2006/relationships/worksheet" Target="worksheets/sheet19.xml"/><Relationship Id="rId21" Type="http://schemas.openxmlformats.org/officeDocument/2006/relationships/worksheet" Target="worksheets/sheet20.xml"/><Relationship Id="rId22" Type="http://schemas.openxmlformats.org/officeDocument/2006/relationships/worksheet" Target="worksheets/sheet21.xml"/><Relationship Id="rId23" Type="http://schemas.openxmlformats.org/officeDocument/2006/relationships/worksheet" Target="worksheets/sheet22.xml"/><Relationship Id="rId2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O85"/>
  <sheetViews>
    <sheetView showFormulas="false" showGridLines="true" showRowColHeaders="true" showZeros="true" rightToLeft="false" tabSelected="true" showOutlineSymbols="true" defaultGridColor="true" view="normal" topLeftCell="A31" colorId="64" zoomScale="100" zoomScaleNormal="100" zoomScalePageLayoutView="100" workbookViewId="0">
      <selection pane="topLeft" activeCell="C74" activeCellId="0" sqref="C74"/>
    </sheetView>
  </sheetViews>
  <sheetFormatPr defaultRowHeight="12.75" zeroHeight="false" outlineLevelRow="0" outlineLevelCol="0"/>
  <cols>
    <col collapsed="false" customWidth="true" hidden="false" outlineLevel="0" max="1" min="1" style="0" width="3.75"/>
    <col collapsed="false" customWidth="true" hidden="false" outlineLevel="0" max="2" min="2" style="0" width="7.25"/>
    <col collapsed="false" customWidth="true" hidden="false" outlineLevel="0" max="3" min="3" style="0" width="8.59"/>
    <col collapsed="false" customWidth="true" hidden="false" outlineLevel="0" max="4" min="4" style="0" width="24"/>
    <col collapsed="false" customWidth="true" hidden="false" outlineLevel="0" max="5" min="5" style="0" width="8.59"/>
    <col collapsed="false" customWidth="true" hidden="false" outlineLevel="0" max="6" min="6" style="0" width="3.38"/>
    <col collapsed="false" customWidth="true" hidden="false" outlineLevel="0" max="7" min="7" style="0" width="8.59"/>
    <col collapsed="false" customWidth="true" hidden="false" outlineLevel="0" max="8" min="8" style="0" width="12.88"/>
    <col collapsed="false" customWidth="true" hidden="false" outlineLevel="0" max="9" min="9" style="0" width="12.25"/>
    <col collapsed="false" customWidth="true" hidden="false" outlineLevel="0" max="10" min="10" style="0" width="11.75"/>
    <col collapsed="false" customWidth="true" hidden="false" outlineLevel="0" max="12" min="11" style="0" width="19.5"/>
    <col collapsed="false" customWidth="true" hidden="false" outlineLevel="0" max="1025" min="13" style="0" width="8.59"/>
  </cols>
  <sheetData>
    <row r="1" customFormat="false" ht="28.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customFormat="false" ht="6" hidden="false" customHeight="true" outlineLevel="0" collapsed="false"/>
    <row r="3" customFormat="false" ht="13.5" hidden="false" customHeight="false" outlineLevel="0" collapsed="false">
      <c r="A3" s="2" t="s">
        <v>1</v>
      </c>
      <c r="B3" s="2"/>
      <c r="C3" s="2"/>
      <c r="D3" s="2"/>
      <c r="E3" s="2"/>
      <c r="F3" s="2"/>
      <c r="G3" s="2"/>
      <c r="H3" s="2"/>
    </row>
    <row r="4" customFormat="false" ht="36.75" hidden="false" customHeight="true" outlineLevel="0" collapsed="false">
      <c r="A4" s="3" t="s">
        <v>2</v>
      </c>
      <c r="B4" s="3"/>
      <c r="C4" s="3"/>
      <c r="D4" s="4"/>
      <c r="E4" s="5" t="s">
        <v>3</v>
      </c>
      <c r="F4" s="5"/>
      <c r="G4" s="5"/>
      <c r="H4" s="5"/>
    </row>
    <row r="5" customFormat="false" ht="22.5" hidden="false" customHeight="true" outlineLevel="0" collapsed="false">
      <c r="A5" s="2" t="s">
        <v>4</v>
      </c>
      <c r="B5" s="2"/>
      <c r="C5" s="2"/>
      <c r="D5" s="2"/>
      <c r="E5" s="2"/>
      <c r="F5" s="2"/>
      <c r="G5" s="2"/>
      <c r="H5" s="2"/>
    </row>
    <row r="6" customFormat="false" ht="24.75" hidden="false" customHeight="true" outlineLevel="0" collapsed="false">
      <c r="A6" s="2" t="s">
        <v>5</v>
      </c>
      <c r="B6" s="2"/>
      <c r="C6" s="2"/>
      <c r="D6" s="2"/>
      <c r="E6" s="2"/>
      <c r="F6" s="2"/>
      <c r="G6" s="2"/>
      <c r="H6" s="2"/>
    </row>
    <row r="7" customFormat="false" ht="25.5" hidden="false" customHeight="true" outlineLevel="0" collapsed="false">
      <c r="A7" s="6" t="s">
        <v>6</v>
      </c>
      <c r="B7" s="6"/>
      <c r="C7" s="6"/>
      <c r="D7" s="6"/>
      <c r="E7" s="6"/>
      <c r="F7" s="6"/>
      <c r="G7" s="6"/>
      <c r="H7" s="6"/>
    </row>
    <row r="8" customFormat="false" ht="15" hidden="false" customHeight="false" outlineLevel="0" collapsed="false">
      <c r="A8" s="7"/>
      <c r="B8" s="7"/>
      <c r="C8" s="7"/>
      <c r="D8" s="7"/>
      <c r="E8" s="7"/>
      <c r="F8" s="7"/>
      <c r="G8" s="7"/>
      <c r="H8" s="7"/>
    </row>
    <row r="9" customFormat="false" ht="15" hidden="false" customHeight="true" outlineLevel="0" collapsed="false">
      <c r="A9" s="8" t="s">
        <v>7</v>
      </c>
      <c r="B9" s="8"/>
      <c r="C9" s="8"/>
      <c r="D9" s="8"/>
      <c r="E9" s="8"/>
      <c r="F9" s="8"/>
      <c r="G9" s="8"/>
      <c r="H9" s="8"/>
      <c r="I9" s="8"/>
      <c r="J9" s="8"/>
      <c r="K9" s="8"/>
      <c r="L9" s="8"/>
    </row>
    <row r="10" customFormat="false" ht="15" hidden="false" customHeight="true" outlineLevel="0" collapsed="false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customFormat="false" ht="23.25" hidden="false" customHeight="true" outlineLevel="0" collapsed="false">
      <c r="A11" s="8" t="s">
        <v>8</v>
      </c>
      <c r="B11" s="8"/>
      <c r="C11" s="8"/>
      <c r="D11" s="9"/>
      <c r="E11" s="9"/>
      <c r="F11" s="9"/>
      <c r="G11" s="9"/>
      <c r="H11" s="9"/>
      <c r="I11" s="9"/>
      <c r="J11" s="9"/>
      <c r="K11" s="9"/>
      <c r="L11" s="9"/>
    </row>
    <row r="13" customFormat="false" ht="21.95" hidden="false" customHeight="true" outlineLevel="0" collapsed="false">
      <c r="A13" s="10" t="s">
        <v>9</v>
      </c>
      <c r="B13" s="10"/>
      <c r="C13" s="10"/>
      <c r="D13" s="10" t="s">
        <v>10</v>
      </c>
      <c r="E13" s="10"/>
      <c r="F13" s="10"/>
      <c r="G13" s="10"/>
      <c r="H13" s="10"/>
    </row>
    <row r="14" customFormat="false" ht="21.95" hidden="false" customHeight="true" outlineLevel="0" collapsed="false">
      <c r="A14" s="10" t="s">
        <v>11</v>
      </c>
      <c r="B14" s="10"/>
      <c r="C14" s="10"/>
      <c r="D14" s="10"/>
      <c r="E14" s="10"/>
      <c r="F14" s="10"/>
      <c r="G14" s="10"/>
      <c r="H14" s="10"/>
    </row>
    <row r="15" customFormat="false" ht="6" hidden="false" customHeight="true" outlineLevel="0" collapsed="false"/>
    <row r="16" customFormat="false" ht="21.95" hidden="false" customHeight="true" outlineLevel="0" collapsed="false">
      <c r="A16" s="11" t="s">
        <v>12</v>
      </c>
      <c r="B16" s="11"/>
      <c r="C16" s="11"/>
      <c r="D16" s="11"/>
      <c r="E16" s="11"/>
      <c r="F16" s="11"/>
      <c r="G16" s="11"/>
      <c r="H16" s="11"/>
    </row>
    <row r="17" customFormat="false" ht="6" hidden="false" customHeight="true" outlineLevel="0" collapsed="false"/>
    <row r="18" customFormat="false" ht="12.75" hidden="false" customHeight="false" outlineLevel="0" collapsed="false">
      <c r="A18" s="12" t="s">
        <v>13</v>
      </c>
      <c r="B18" s="12"/>
      <c r="C18" s="12"/>
      <c r="D18" s="12"/>
      <c r="E18" s="12"/>
      <c r="F18" s="12"/>
      <c r="G18" s="12"/>
      <c r="H18" s="12"/>
    </row>
    <row r="19" customFormat="false" ht="5.25" hidden="false" customHeight="true" outlineLevel="0" collapsed="false"/>
    <row r="20" customFormat="false" ht="21.95" hidden="false" customHeight="true" outlineLevel="0" collapsed="false">
      <c r="A20" s="13" t="s">
        <v>14</v>
      </c>
      <c r="B20" s="10" t="s">
        <v>15</v>
      </c>
      <c r="C20" s="10"/>
      <c r="D20" s="10"/>
      <c r="E20" s="10"/>
      <c r="F20" s="14"/>
      <c r="G20" s="14"/>
      <c r="H20" s="14"/>
      <c r="I20" s="14"/>
      <c r="J20" s="14"/>
      <c r="K20" s="14"/>
      <c r="L20" s="14"/>
    </row>
    <row r="21" customFormat="false" ht="21.95" hidden="false" customHeight="true" outlineLevel="0" collapsed="false">
      <c r="A21" s="13" t="s">
        <v>16</v>
      </c>
      <c r="B21" s="10" t="s">
        <v>17</v>
      </c>
      <c r="C21" s="10"/>
      <c r="D21" s="10"/>
      <c r="E21" s="10"/>
      <c r="F21" s="14" t="s">
        <v>18</v>
      </c>
      <c r="G21" s="14"/>
      <c r="H21" s="14"/>
      <c r="I21" s="14"/>
      <c r="J21" s="14"/>
      <c r="K21" s="14"/>
      <c r="L21" s="14"/>
    </row>
    <row r="22" customFormat="false" ht="87" hidden="false" customHeight="true" outlineLevel="0" collapsed="false">
      <c r="A22" s="13" t="s">
        <v>19</v>
      </c>
      <c r="B22" s="10" t="s">
        <v>20</v>
      </c>
      <c r="C22" s="10"/>
      <c r="D22" s="10"/>
      <c r="E22" s="10"/>
      <c r="F22" s="15"/>
      <c r="G22" s="15"/>
      <c r="H22" s="15"/>
      <c r="I22" s="15"/>
      <c r="J22" s="15"/>
      <c r="K22" s="15"/>
      <c r="L22" s="15"/>
    </row>
    <row r="23" customFormat="false" ht="21.95" hidden="false" customHeight="true" outlineLevel="0" collapsed="false">
      <c r="A23" s="13" t="s">
        <v>21</v>
      </c>
      <c r="B23" s="10" t="s">
        <v>22</v>
      </c>
      <c r="C23" s="10"/>
      <c r="D23" s="10"/>
      <c r="E23" s="10"/>
      <c r="F23" s="13" t="n">
        <v>12</v>
      </c>
      <c r="G23" s="13" t="s">
        <v>23</v>
      </c>
      <c r="H23" s="11" t="s">
        <v>24</v>
      </c>
      <c r="I23" s="11" t="s">
        <v>25</v>
      </c>
      <c r="J23" s="11"/>
      <c r="K23" s="16"/>
      <c r="L23" s="16"/>
    </row>
    <row r="24" customFormat="false" ht="6" hidden="false" customHeight="true" outlineLevel="0" collapsed="false"/>
    <row r="25" customFormat="false" ht="12.75" hidden="false" customHeight="false" outlineLevel="0" collapsed="false">
      <c r="A25" s="17" t="s">
        <v>26</v>
      </c>
      <c r="B25" s="17"/>
      <c r="C25" s="17"/>
      <c r="D25" s="17"/>
      <c r="E25" s="17"/>
      <c r="F25" s="17"/>
      <c r="G25" s="17"/>
      <c r="H25" s="17"/>
    </row>
    <row r="26" customFormat="false" ht="6" hidden="false" customHeight="true" outlineLevel="0" collapsed="false"/>
    <row r="27" s="19" customFormat="true" ht="27.95" hidden="false" customHeight="true" outlineLevel="0" collapsed="false">
      <c r="A27" s="18" t="s">
        <v>27</v>
      </c>
      <c r="B27" s="18"/>
      <c r="C27" s="18"/>
      <c r="D27" s="18"/>
      <c r="E27" s="18" t="s">
        <v>28</v>
      </c>
      <c r="F27" s="18"/>
      <c r="G27" s="18" t="s">
        <v>29</v>
      </c>
      <c r="H27" s="18"/>
      <c r="I27" s="18" t="s">
        <v>30</v>
      </c>
      <c r="J27" s="18"/>
      <c r="K27" s="18"/>
      <c r="L27" s="18"/>
    </row>
    <row r="28" s="19" customFormat="true" ht="12.75" hidden="false" customHeight="false" outlineLevel="0" collapsed="false">
      <c r="A28" s="18"/>
      <c r="B28" s="18"/>
      <c r="C28" s="18"/>
      <c r="D28" s="18"/>
      <c r="E28" s="18"/>
      <c r="F28" s="18"/>
      <c r="G28" s="18" t="s">
        <v>31</v>
      </c>
      <c r="H28" s="18" t="s">
        <v>32</v>
      </c>
      <c r="I28" s="18" t="s">
        <v>31</v>
      </c>
      <c r="J28" s="18" t="s">
        <v>32</v>
      </c>
      <c r="K28" s="18" t="s">
        <v>33</v>
      </c>
      <c r="L28" s="18" t="s">
        <v>34</v>
      </c>
    </row>
    <row r="29" customFormat="false" ht="39.95" hidden="false" customHeight="true" outlineLevel="0" collapsed="false">
      <c r="A29" s="20" t="s">
        <v>35</v>
      </c>
      <c r="B29" s="10" t="s">
        <v>36</v>
      </c>
      <c r="C29" s="21" t="s">
        <v>37</v>
      </c>
      <c r="D29" s="21"/>
      <c r="E29" s="21" t="s">
        <v>38</v>
      </c>
      <c r="F29" s="21"/>
      <c r="G29" s="13" t="n">
        <f aca="false">+'Custo LOTE I'!G22</f>
        <v>11</v>
      </c>
      <c r="H29" s="13" t="n">
        <f aca="false">+'Custo LOTE I'!H22</f>
        <v>22</v>
      </c>
      <c r="I29" s="22" t="n">
        <f aca="false">+J29*2</f>
        <v>0</v>
      </c>
      <c r="J29" s="23" t="n">
        <f aca="false">+'Vigilante 12X36 Diurno Arm'!$D$153</f>
        <v>0</v>
      </c>
      <c r="K29" s="22" t="n">
        <f aca="false">+J29*H29</f>
        <v>0</v>
      </c>
      <c r="L29" s="22" t="n">
        <f aca="false">+K29*12</f>
        <v>0</v>
      </c>
    </row>
    <row r="30" customFormat="false" ht="39.95" hidden="false" customHeight="true" outlineLevel="0" collapsed="false">
      <c r="A30" s="20"/>
      <c r="B30" s="10" t="s">
        <v>39</v>
      </c>
      <c r="C30" s="21" t="s">
        <v>40</v>
      </c>
      <c r="D30" s="21"/>
      <c r="E30" s="21" t="s">
        <v>38</v>
      </c>
      <c r="F30" s="21"/>
      <c r="G30" s="13" t="n">
        <f aca="false">+'Custo LOTE I'!G23</f>
        <v>11</v>
      </c>
      <c r="H30" s="13" t="n">
        <f aca="false">+'Custo LOTE I'!H23</f>
        <v>22</v>
      </c>
      <c r="I30" s="22" t="n">
        <f aca="false">+J30*2</f>
        <v>0</v>
      </c>
      <c r="J30" s="23" t="n">
        <f aca="false">+'Vigilante 12x36 Noturno Arm'!$D$153</f>
        <v>0</v>
      </c>
      <c r="K30" s="22" t="n">
        <f aca="false">+J30*H30</f>
        <v>0</v>
      </c>
      <c r="L30" s="22" t="n">
        <f aca="false">+K30*12</f>
        <v>0</v>
      </c>
    </row>
    <row r="31" customFormat="false" ht="39.95" hidden="false" customHeight="true" outlineLevel="0" collapsed="false">
      <c r="A31" s="20"/>
      <c r="B31" s="10" t="s">
        <v>41</v>
      </c>
      <c r="C31" s="21" t="s">
        <v>42</v>
      </c>
      <c r="D31" s="21"/>
      <c r="E31" s="21" t="s">
        <v>43</v>
      </c>
      <c r="F31" s="21"/>
      <c r="G31" s="13" t="n">
        <f aca="false">+'Custo LOTE I'!G24</f>
        <v>4</v>
      </c>
      <c r="H31" s="13" t="n">
        <f aca="false">+'Custo LOTE I'!H24</f>
        <v>4</v>
      </c>
      <c r="I31" s="22" t="n">
        <f aca="false">+J31</f>
        <v>0</v>
      </c>
      <c r="J31" s="23" t="n">
        <f aca="false">+'Vigilante 5x2 12h Arm'!$D$156</f>
        <v>0</v>
      </c>
      <c r="K31" s="22" t="n">
        <f aca="false">+J31*H31</f>
        <v>0</v>
      </c>
      <c r="L31" s="22" t="n">
        <f aca="false">+K31*12</f>
        <v>0</v>
      </c>
    </row>
    <row r="32" customFormat="false" ht="39.95" hidden="false" customHeight="true" outlineLevel="0" collapsed="false">
      <c r="A32" s="20"/>
      <c r="B32" s="10" t="s">
        <v>44</v>
      </c>
      <c r="C32" s="21" t="s">
        <v>45</v>
      </c>
      <c r="D32" s="21"/>
      <c r="E32" s="21" t="s">
        <v>43</v>
      </c>
      <c r="F32" s="21"/>
      <c r="G32" s="13" t="n">
        <f aca="false">+'Custo LOTE I'!G26</f>
        <v>1</v>
      </c>
      <c r="H32" s="13" t="n">
        <f aca="false">+'Custo LOTE I'!H26</f>
        <v>1</v>
      </c>
      <c r="I32" s="22" t="n">
        <f aca="false">+J32</f>
        <v>0</v>
      </c>
      <c r="J32" s="23" t="n">
        <f aca="false">+'Vigilante 44h Arm'!$D$155</f>
        <v>0</v>
      </c>
      <c r="K32" s="22" t="n">
        <f aca="false">+J32*H32</f>
        <v>0</v>
      </c>
      <c r="L32" s="22" t="n">
        <f aca="false">+K32*12</f>
        <v>0</v>
      </c>
    </row>
    <row r="33" customFormat="false" ht="15" hidden="false" customHeight="false" outlineLevel="0" collapsed="false">
      <c r="D33" s="24"/>
      <c r="G33" s="25" t="n">
        <f aca="false">SUM(G29:G32)</f>
        <v>27</v>
      </c>
      <c r="H33" s="25" t="n">
        <f aca="false">SUM(H29:H32)</f>
        <v>49</v>
      </c>
      <c r="K33" s="26" t="n">
        <f aca="false">SUM(K29:K32)</f>
        <v>0</v>
      </c>
      <c r="L33" s="26" t="n">
        <f aca="false">SUM(L29:L32)</f>
        <v>0</v>
      </c>
    </row>
    <row r="34" customFormat="false" ht="6" hidden="false" customHeight="true" outlineLevel="0" collapsed="false">
      <c r="D34" s="24"/>
    </row>
    <row r="35" customFormat="false" ht="27.95" hidden="false" customHeight="true" outlineLevel="0" collapsed="false">
      <c r="A35" s="18" t="s">
        <v>27</v>
      </c>
      <c r="B35" s="18"/>
      <c r="C35" s="18"/>
      <c r="D35" s="18"/>
      <c r="E35" s="18" t="s">
        <v>28</v>
      </c>
      <c r="F35" s="18"/>
      <c r="G35" s="18" t="s">
        <v>29</v>
      </c>
      <c r="H35" s="18"/>
      <c r="I35" s="18" t="s">
        <v>30</v>
      </c>
      <c r="J35" s="18"/>
      <c r="K35" s="18"/>
      <c r="L35" s="18"/>
    </row>
    <row r="36" customFormat="false" ht="12.75" hidden="false" customHeight="false" outlineLevel="0" collapsed="false">
      <c r="A36" s="18"/>
      <c r="B36" s="18"/>
      <c r="C36" s="18"/>
      <c r="D36" s="18"/>
      <c r="E36" s="18"/>
      <c r="F36" s="18"/>
      <c r="G36" s="18" t="s">
        <v>31</v>
      </c>
      <c r="H36" s="18" t="s">
        <v>32</v>
      </c>
      <c r="I36" s="18" t="s">
        <v>31</v>
      </c>
      <c r="J36" s="18" t="s">
        <v>32</v>
      </c>
      <c r="K36" s="18" t="s">
        <v>33</v>
      </c>
      <c r="L36" s="18" t="s">
        <v>34</v>
      </c>
    </row>
    <row r="37" customFormat="false" ht="39.95" hidden="false" customHeight="true" outlineLevel="0" collapsed="false">
      <c r="A37" s="20" t="s">
        <v>46</v>
      </c>
      <c r="B37" s="10" t="s">
        <v>47</v>
      </c>
      <c r="C37" s="21" t="s">
        <v>37</v>
      </c>
      <c r="D37" s="21"/>
      <c r="E37" s="21" t="s">
        <v>38</v>
      </c>
      <c r="F37" s="21"/>
      <c r="G37" s="13" t="n">
        <f aca="false">+'Custo LOTE II'!G39</f>
        <v>34</v>
      </c>
      <c r="H37" s="13" t="n">
        <f aca="false">+'Custo LOTE II'!H39</f>
        <v>68</v>
      </c>
      <c r="I37" s="22" t="n">
        <f aca="false">+J37*2</f>
        <v>0</v>
      </c>
      <c r="J37" s="23" t="n">
        <f aca="false">+'Vigilante 12X36 Diurno Arm'!$D$153</f>
        <v>0</v>
      </c>
      <c r="K37" s="22" t="n">
        <f aca="false">+J37*H37</f>
        <v>0</v>
      </c>
      <c r="L37" s="22" t="n">
        <f aca="false">+K37*12</f>
        <v>0</v>
      </c>
    </row>
    <row r="38" customFormat="false" ht="39.95" hidden="false" customHeight="true" outlineLevel="0" collapsed="false">
      <c r="A38" s="20"/>
      <c r="B38" s="10" t="s">
        <v>48</v>
      </c>
      <c r="C38" s="21" t="s">
        <v>40</v>
      </c>
      <c r="D38" s="21"/>
      <c r="E38" s="21" t="s">
        <v>38</v>
      </c>
      <c r="F38" s="21"/>
      <c r="G38" s="13" t="n">
        <f aca="false">+'Custo LOTE II'!G40</f>
        <v>33</v>
      </c>
      <c r="H38" s="13" t="n">
        <f aca="false">+'Custo LOTE II'!H40</f>
        <v>66</v>
      </c>
      <c r="I38" s="22" t="n">
        <f aca="false">+J38*2</f>
        <v>0</v>
      </c>
      <c r="J38" s="23" t="n">
        <f aca="false">+'Vigilante 12x36 Noturno Arm'!$D$153</f>
        <v>0</v>
      </c>
      <c r="K38" s="22" t="n">
        <f aca="false">+J38*H38</f>
        <v>0</v>
      </c>
      <c r="L38" s="22" t="n">
        <f aca="false">+K38*12</f>
        <v>0</v>
      </c>
    </row>
    <row r="39" customFormat="false" ht="39.95" hidden="false" customHeight="true" outlineLevel="0" collapsed="false">
      <c r="A39" s="20"/>
      <c r="B39" s="10" t="s">
        <v>49</v>
      </c>
      <c r="C39" s="21" t="s">
        <v>42</v>
      </c>
      <c r="D39" s="21"/>
      <c r="E39" s="21" t="s">
        <v>43</v>
      </c>
      <c r="F39" s="21"/>
      <c r="G39" s="13" t="n">
        <f aca="false">+'Custo LOTE II'!G41</f>
        <v>20</v>
      </c>
      <c r="H39" s="13" t="n">
        <f aca="false">+'Custo LOTE II'!H41</f>
        <v>20</v>
      </c>
      <c r="I39" s="22" t="n">
        <f aca="false">+J39</f>
        <v>0</v>
      </c>
      <c r="J39" s="23" t="n">
        <f aca="false">+'Vigilante 5x2 12h Arm'!$D$156</f>
        <v>0</v>
      </c>
      <c r="K39" s="22" t="n">
        <f aca="false">+J39*H39</f>
        <v>0</v>
      </c>
      <c r="L39" s="22" t="n">
        <f aca="false">+K39*12</f>
        <v>0</v>
      </c>
    </row>
    <row r="40" customFormat="false" ht="39.95" hidden="false" customHeight="true" outlineLevel="0" collapsed="false">
      <c r="A40" s="20"/>
      <c r="B40" s="10" t="s">
        <v>50</v>
      </c>
      <c r="C40" s="21" t="s">
        <v>45</v>
      </c>
      <c r="D40" s="21"/>
      <c r="E40" s="21" t="s">
        <v>43</v>
      </c>
      <c r="F40" s="21"/>
      <c r="G40" s="13" t="n">
        <f aca="false">+'Custo LOTE II'!G42</f>
        <v>1</v>
      </c>
      <c r="H40" s="13" t="n">
        <f aca="false">+'Custo LOTE II'!H42</f>
        <v>1</v>
      </c>
      <c r="I40" s="22" t="n">
        <f aca="false">+J40</f>
        <v>0</v>
      </c>
      <c r="J40" s="23" t="n">
        <f aca="false">+'Vigilante 44h Arm'!$D$155</f>
        <v>0</v>
      </c>
      <c r="K40" s="22" t="n">
        <f aca="false">+J40*H40</f>
        <v>0</v>
      </c>
      <c r="L40" s="22" t="n">
        <f aca="false">+K40*12</f>
        <v>0</v>
      </c>
    </row>
    <row r="41" customFormat="false" ht="39.95" hidden="false" customHeight="true" outlineLevel="0" collapsed="false">
      <c r="A41" s="20"/>
      <c r="B41" s="10" t="s">
        <v>51</v>
      </c>
      <c r="C41" s="21" t="s">
        <v>52</v>
      </c>
      <c r="D41" s="21"/>
      <c r="E41" s="21" t="s">
        <v>38</v>
      </c>
      <c r="F41" s="21"/>
      <c r="G41" s="13" t="n">
        <f aca="false">+'Custo LOTE II'!G44</f>
        <v>5</v>
      </c>
      <c r="H41" s="13" t="n">
        <f aca="false">+'Custo LOTE II'!H44</f>
        <v>10</v>
      </c>
      <c r="I41" s="22" t="n">
        <f aca="false">+J41*2</f>
        <v>0</v>
      </c>
      <c r="J41" s="23" t="n">
        <f aca="false">+'Vigilante 12x36 Diurno Des'!$D$153</f>
        <v>0</v>
      </c>
      <c r="K41" s="22" t="n">
        <f aca="false">+J41*H41</f>
        <v>0</v>
      </c>
      <c r="L41" s="22" t="n">
        <f aca="false">+K41*12</f>
        <v>0</v>
      </c>
    </row>
    <row r="42" customFormat="false" ht="39.95" hidden="false" customHeight="true" outlineLevel="0" collapsed="false">
      <c r="A42" s="20"/>
      <c r="B42" s="10" t="s">
        <v>53</v>
      </c>
      <c r="C42" s="21" t="s">
        <v>54</v>
      </c>
      <c r="D42" s="21"/>
      <c r="E42" s="21" t="s">
        <v>38</v>
      </c>
      <c r="F42" s="21"/>
      <c r="G42" s="13" t="n">
        <f aca="false">+'Custo LOTE II'!G45</f>
        <v>2</v>
      </c>
      <c r="H42" s="13" t="n">
        <f aca="false">+'Custo LOTE II'!H45</f>
        <v>4</v>
      </c>
      <c r="I42" s="22" t="n">
        <f aca="false">+J42*2</f>
        <v>0</v>
      </c>
      <c r="J42" s="23" t="n">
        <f aca="false">+'Vigilante 12x36 Noturno Des'!$D$153</f>
        <v>0</v>
      </c>
      <c r="K42" s="22" t="n">
        <f aca="false">+J42*H42</f>
        <v>0</v>
      </c>
      <c r="L42" s="22" t="n">
        <f aca="false">+K42*12</f>
        <v>0</v>
      </c>
    </row>
    <row r="43" customFormat="false" ht="12.75" hidden="false" customHeight="false" outlineLevel="0" collapsed="false">
      <c r="G43" s="25" t="n">
        <f aca="false">SUM(G37:G42)</f>
        <v>95</v>
      </c>
      <c r="H43" s="25" t="n">
        <f aca="false">SUM(H37:H42)</f>
        <v>169</v>
      </c>
      <c r="K43" s="26" t="n">
        <f aca="false">SUM(K37:K42)</f>
        <v>0</v>
      </c>
      <c r="L43" s="27" t="n">
        <f aca="false">+K43*12</f>
        <v>0</v>
      </c>
      <c r="N43" s="28"/>
      <c r="O43" s="28"/>
    </row>
    <row r="44" customFormat="false" ht="6" hidden="false" customHeight="true" outlineLevel="0" collapsed="false"/>
    <row r="45" customFormat="false" ht="27.95" hidden="false" customHeight="true" outlineLevel="0" collapsed="false">
      <c r="A45" s="18" t="s">
        <v>27</v>
      </c>
      <c r="B45" s="18"/>
      <c r="C45" s="18"/>
      <c r="D45" s="18"/>
      <c r="E45" s="18" t="s">
        <v>28</v>
      </c>
      <c r="F45" s="18"/>
      <c r="G45" s="18" t="s">
        <v>29</v>
      </c>
      <c r="H45" s="18"/>
      <c r="I45" s="18" t="s">
        <v>30</v>
      </c>
      <c r="J45" s="18"/>
      <c r="K45" s="18"/>
      <c r="L45" s="18"/>
    </row>
    <row r="46" customFormat="false" ht="12.75" hidden="false" customHeight="false" outlineLevel="0" collapsed="false">
      <c r="A46" s="18"/>
      <c r="B46" s="18"/>
      <c r="C46" s="18"/>
      <c r="D46" s="18"/>
      <c r="E46" s="18"/>
      <c r="F46" s="18"/>
      <c r="G46" s="18" t="s">
        <v>31</v>
      </c>
      <c r="H46" s="18" t="s">
        <v>32</v>
      </c>
      <c r="I46" s="18" t="s">
        <v>31</v>
      </c>
      <c r="J46" s="18" t="s">
        <v>32</v>
      </c>
      <c r="K46" s="18" t="s">
        <v>33</v>
      </c>
      <c r="L46" s="18" t="s">
        <v>34</v>
      </c>
    </row>
    <row r="47" customFormat="false" ht="39.95" hidden="false" customHeight="true" outlineLevel="0" collapsed="false">
      <c r="A47" s="20" t="s">
        <v>55</v>
      </c>
      <c r="B47" s="10" t="s">
        <v>56</v>
      </c>
      <c r="C47" s="21" t="s">
        <v>37</v>
      </c>
      <c r="D47" s="21"/>
      <c r="E47" s="21" t="s">
        <v>38</v>
      </c>
      <c r="F47" s="21"/>
      <c r="G47" s="13" t="n">
        <f aca="false">+'Custo LOTE III'!G26</f>
        <v>11</v>
      </c>
      <c r="H47" s="13" t="n">
        <f aca="false">+'Custo LOTE III'!H26</f>
        <v>22</v>
      </c>
      <c r="I47" s="29" t="n">
        <f aca="false">+J47*2</f>
        <v>0</v>
      </c>
      <c r="J47" s="30" t="n">
        <f aca="false">+'Vigilante 12X36 Diurno Arm'!$D$153</f>
        <v>0</v>
      </c>
      <c r="K47" s="29" t="n">
        <f aca="false">+J47*H47</f>
        <v>0</v>
      </c>
      <c r="L47" s="29" t="n">
        <f aca="false">+K47*12</f>
        <v>0</v>
      </c>
    </row>
    <row r="48" customFormat="false" ht="39.95" hidden="false" customHeight="true" outlineLevel="0" collapsed="false">
      <c r="A48" s="20"/>
      <c r="B48" s="10" t="s">
        <v>57</v>
      </c>
      <c r="C48" s="21" t="s">
        <v>40</v>
      </c>
      <c r="D48" s="21"/>
      <c r="E48" s="21" t="s">
        <v>38</v>
      </c>
      <c r="F48" s="21"/>
      <c r="G48" s="13" t="n">
        <f aca="false">+'Custo LOTE III'!G27</f>
        <v>13</v>
      </c>
      <c r="H48" s="13" t="n">
        <f aca="false">+'Custo LOTE III'!H27</f>
        <v>26</v>
      </c>
      <c r="I48" s="29" t="n">
        <f aca="false">+J48*2</f>
        <v>0</v>
      </c>
      <c r="J48" s="30" t="n">
        <f aca="false">+'Vigilante 12x36 Noturno Arm'!$D$153</f>
        <v>0</v>
      </c>
      <c r="K48" s="29" t="n">
        <f aca="false">+J48*H48</f>
        <v>0</v>
      </c>
      <c r="L48" s="29" t="n">
        <f aca="false">+K48*12</f>
        <v>0</v>
      </c>
    </row>
    <row r="49" customFormat="false" ht="39.95" hidden="false" customHeight="true" outlineLevel="0" collapsed="false">
      <c r="A49" s="20"/>
      <c r="B49" s="10" t="s">
        <v>58</v>
      </c>
      <c r="C49" s="21" t="s">
        <v>45</v>
      </c>
      <c r="D49" s="21"/>
      <c r="E49" s="21" t="s">
        <v>43</v>
      </c>
      <c r="F49" s="21"/>
      <c r="G49" s="13" t="n">
        <f aca="false">+'Custo LOTE III'!G28</f>
        <v>2</v>
      </c>
      <c r="H49" s="13" t="n">
        <f aca="false">+'Custo LOTE III'!H28</f>
        <v>2</v>
      </c>
      <c r="I49" s="29" t="n">
        <f aca="false">+J49</f>
        <v>0</v>
      </c>
      <c r="J49" s="30" t="n">
        <f aca="false">+'Vigilante 44h Arm'!$D$155</f>
        <v>0</v>
      </c>
      <c r="K49" s="29" t="n">
        <f aca="false">+J49*H49</f>
        <v>0</v>
      </c>
      <c r="L49" s="29" t="n">
        <f aca="false">+K49*12</f>
        <v>0</v>
      </c>
    </row>
    <row r="50" customFormat="false" ht="12.75" hidden="false" customHeight="false" outlineLevel="0" collapsed="false">
      <c r="G50" s="25" t="n">
        <f aca="false">SUM(G47:G49)</f>
        <v>26</v>
      </c>
      <c r="H50" s="25" t="n">
        <f aca="false">SUM(H47:H49)</f>
        <v>50</v>
      </c>
      <c r="K50" s="26" t="n">
        <f aca="false">SUM(K47:K49)</f>
        <v>0</v>
      </c>
      <c r="L50" s="26" t="n">
        <f aca="false">SUM(L47:L49)</f>
        <v>0</v>
      </c>
    </row>
    <row r="51" customFormat="false" ht="6" hidden="false" customHeight="true" outlineLevel="0" collapsed="false"/>
    <row r="52" customFormat="false" ht="12.75" hidden="false" customHeight="true" outlineLevel="0" collapsed="false">
      <c r="A52" s="18" t="s">
        <v>27</v>
      </c>
      <c r="B52" s="18"/>
      <c r="C52" s="18"/>
      <c r="D52" s="18"/>
      <c r="E52" s="18" t="s">
        <v>28</v>
      </c>
      <c r="F52" s="18"/>
      <c r="G52" s="18" t="s">
        <v>29</v>
      </c>
      <c r="H52" s="18"/>
      <c r="I52" s="18" t="s">
        <v>30</v>
      </c>
      <c r="J52" s="18"/>
      <c r="K52" s="18"/>
      <c r="L52" s="18"/>
    </row>
    <row r="53" customFormat="false" ht="12.75" hidden="false" customHeight="false" outlineLevel="0" collapsed="false">
      <c r="A53" s="18"/>
      <c r="B53" s="18"/>
      <c r="C53" s="18"/>
      <c r="D53" s="18"/>
      <c r="E53" s="18"/>
      <c r="F53" s="18"/>
      <c r="G53" s="18" t="s">
        <v>31</v>
      </c>
      <c r="H53" s="18" t="s">
        <v>32</v>
      </c>
      <c r="I53" s="18" t="s">
        <v>31</v>
      </c>
      <c r="J53" s="18" t="s">
        <v>32</v>
      </c>
      <c r="K53" s="18" t="s">
        <v>33</v>
      </c>
      <c r="L53" s="18" t="s">
        <v>34</v>
      </c>
    </row>
    <row r="54" customFormat="false" ht="40.5" hidden="false" customHeight="true" outlineLevel="0" collapsed="false">
      <c r="A54" s="20" t="s">
        <v>59</v>
      </c>
      <c r="B54" s="10" t="s">
        <v>60</v>
      </c>
      <c r="C54" s="21" t="s">
        <v>37</v>
      </c>
      <c r="D54" s="21"/>
      <c r="E54" s="21" t="s">
        <v>38</v>
      </c>
      <c r="F54" s="21"/>
      <c r="G54" s="13" t="n">
        <f aca="false">+'Custo LOTE IV'!G21</f>
        <v>18</v>
      </c>
      <c r="H54" s="13" t="n">
        <f aca="false">+'Custo LOTE IV'!H21</f>
        <v>36</v>
      </c>
      <c r="I54" s="22" t="n">
        <f aca="false">+J54*2</f>
        <v>0</v>
      </c>
      <c r="J54" s="23" t="n">
        <f aca="false">+'Vigilante 12X36 Diurno Arm'!$D$153</f>
        <v>0</v>
      </c>
      <c r="K54" s="22" t="n">
        <f aca="false">+J54*H54</f>
        <v>0</v>
      </c>
      <c r="L54" s="22" t="n">
        <f aca="false">+K54*12</f>
        <v>0</v>
      </c>
    </row>
    <row r="55" customFormat="false" ht="39.95" hidden="false" customHeight="true" outlineLevel="0" collapsed="false">
      <c r="A55" s="20"/>
      <c r="B55" s="10" t="s">
        <v>61</v>
      </c>
      <c r="C55" s="21" t="s">
        <v>40</v>
      </c>
      <c r="D55" s="21"/>
      <c r="E55" s="21" t="s">
        <v>38</v>
      </c>
      <c r="F55" s="21"/>
      <c r="G55" s="13" t="n">
        <f aca="false">+'Custo LOTE IV'!G22</f>
        <v>19</v>
      </c>
      <c r="H55" s="13" t="n">
        <f aca="false">+'Custo LOTE IV'!H22</f>
        <v>38</v>
      </c>
      <c r="I55" s="22" t="n">
        <f aca="false">+J55*2</f>
        <v>0</v>
      </c>
      <c r="J55" s="23" t="n">
        <f aca="false">+'Vigilante 12x36 Noturno Arm'!$D$153</f>
        <v>0</v>
      </c>
      <c r="K55" s="22" t="n">
        <f aca="false">+J55*H55</f>
        <v>0</v>
      </c>
      <c r="L55" s="22" t="n">
        <f aca="false">+K55*12</f>
        <v>0</v>
      </c>
    </row>
    <row r="56" customFormat="false" ht="39.95" hidden="false" customHeight="true" outlineLevel="0" collapsed="false">
      <c r="A56" s="20"/>
      <c r="B56" s="10" t="s">
        <v>62</v>
      </c>
      <c r="C56" s="21" t="s">
        <v>42</v>
      </c>
      <c r="D56" s="21"/>
      <c r="E56" s="21" t="s">
        <v>43</v>
      </c>
      <c r="F56" s="21"/>
      <c r="G56" s="13" t="n">
        <f aca="false">+'Custo LOTE IV'!G23</f>
        <v>5</v>
      </c>
      <c r="H56" s="13" t="n">
        <f aca="false">+'Custo LOTE IV'!H23</f>
        <v>5</v>
      </c>
      <c r="I56" s="22" t="n">
        <f aca="false">+J56</f>
        <v>0</v>
      </c>
      <c r="J56" s="23" t="n">
        <f aca="false">+'Vigilante 5x2 12h Arm'!$D$156</f>
        <v>0</v>
      </c>
      <c r="K56" s="22" t="n">
        <f aca="false">+J56*H56</f>
        <v>0</v>
      </c>
      <c r="L56" s="22" t="n">
        <f aca="false">+K56*12</f>
        <v>0</v>
      </c>
    </row>
    <row r="57" customFormat="false" ht="39.95" hidden="false" customHeight="true" outlineLevel="0" collapsed="false">
      <c r="A57" s="20"/>
      <c r="B57" s="10" t="s">
        <v>63</v>
      </c>
      <c r="C57" s="21" t="s">
        <v>45</v>
      </c>
      <c r="D57" s="21"/>
      <c r="E57" s="21" t="s">
        <v>43</v>
      </c>
      <c r="F57" s="21"/>
      <c r="G57" s="13" t="n">
        <f aca="false">+'Custo LOTE IV'!G24</f>
        <v>3</v>
      </c>
      <c r="H57" s="13" t="n">
        <f aca="false">+'Custo LOTE IV'!H24</f>
        <v>3</v>
      </c>
      <c r="I57" s="22" t="n">
        <f aca="false">+J57</f>
        <v>0</v>
      </c>
      <c r="J57" s="23" t="n">
        <f aca="false">+'Vigilante 44h Arm'!$D$155</f>
        <v>0</v>
      </c>
      <c r="K57" s="22" t="n">
        <f aca="false">+J57*H57</f>
        <v>0</v>
      </c>
      <c r="L57" s="22" t="n">
        <f aca="false">+K57*12</f>
        <v>0</v>
      </c>
    </row>
    <row r="58" customFormat="false" ht="39.95" hidden="false" customHeight="true" outlineLevel="0" collapsed="false">
      <c r="A58" s="20"/>
      <c r="B58" s="10" t="s">
        <v>64</v>
      </c>
      <c r="C58" s="21" t="s">
        <v>52</v>
      </c>
      <c r="D58" s="21"/>
      <c r="E58" s="21" t="s">
        <v>38</v>
      </c>
      <c r="F58" s="21"/>
      <c r="G58" s="13" t="n">
        <f aca="false">+'Custo LOTE IV'!G26</f>
        <v>2</v>
      </c>
      <c r="H58" s="13" t="n">
        <f aca="false">+'Custo LOTE IV'!H26</f>
        <v>4</v>
      </c>
      <c r="I58" s="22" t="n">
        <f aca="false">+J58*2</f>
        <v>0</v>
      </c>
      <c r="J58" s="23" t="n">
        <f aca="false">+'Vigilante 12x36 Diurno Des'!$D$153</f>
        <v>0</v>
      </c>
      <c r="K58" s="22" t="n">
        <f aca="false">+J58*H58</f>
        <v>0</v>
      </c>
      <c r="L58" s="22" t="n">
        <f aca="false">+K58*12</f>
        <v>0</v>
      </c>
    </row>
    <row r="59" customFormat="false" ht="12.75" hidden="false" customHeight="false" outlineLevel="0" collapsed="false">
      <c r="G59" s="25" t="n">
        <f aca="false">SUM(G54:G58)</f>
        <v>47</v>
      </c>
      <c r="H59" s="25" t="n">
        <f aca="false">SUM(H54:H58)</f>
        <v>86</v>
      </c>
      <c r="K59" s="26" t="n">
        <f aca="false">SUM(K54:K58)</f>
        <v>0</v>
      </c>
      <c r="L59" s="27" t="n">
        <f aca="false">+K59*12</f>
        <v>0</v>
      </c>
    </row>
    <row r="60" customFormat="false" ht="6" hidden="false" customHeight="true" outlineLevel="0" collapsed="false"/>
    <row r="61" customFormat="false" ht="27.95" hidden="false" customHeight="true" outlineLevel="0" collapsed="false">
      <c r="A61" s="31" t="s">
        <v>27</v>
      </c>
      <c r="B61" s="31"/>
      <c r="C61" s="31"/>
      <c r="D61" s="31"/>
      <c r="E61" s="18" t="s">
        <v>28</v>
      </c>
      <c r="F61" s="18"/>
      <c r="G61" s="18" t="s">
        <v>29</v>
      </c>
      <c r="H61" s="18"/>
      <c r="I61" s="18" t="s">
        <v>30</v>
      </c>
      <c r="J61" s="18"/>
      <c r="K61" s="18"/>
      <c r="L61" s="18"/>
    </row>
    <row r="62" customFormat="false" ht="12.75" hidden="false" customHeight="false" outlineLevel="0" collapsed="false">
      <c r="A62" s="31"/>
      <c r="B62" s="31"/>
      <c r="C62" s="31"/>
      <c r="D62" s="31"/>
      <c r="E62" s="18"/>
      <c r="F62" s="18"/>
      <c r="G62" s="18" t="s">
        <v>31</v>
      </c>
      <c r="H62" s="18" t="s">
        <v>32</v>
      </c>
      <c r="I62" s="18" t="s">
        <v>31</v>
      </c>
      <c r="J62" s="18" t="s">
        <v>32</v>
      </c>
      <c r="K62" s="18" t="s">
        <v>33</v>
      </c>
      <c r="L62" s="18" t="s">
        <v>34</v>
      </c>
    </row>
    <row r="63" customFormat="false" ht="39.95" hidden="false" customHeight="true" outlineLevel="0" collapsed="false">
      <c r="A63" s="20" t="s">
        <v>65</v>
      </c>
      <c r="B63" s="32" t="s">
        <v>66</v>
      </c>
      <c r="C63" s="21" t="s">
        <v>37</v>
      </c>
      <c r="D63" s="21"/>
      <c r="E63" s="21" t="s">
        <v>38</v>
      </c>
      <c r="F63" s="21"/>
      <c r="G63" s="13" t="n">
        <f aca="false">+'Custo LOTE V'!G25</f>
        <v>25</v>
      </c>
      <c r="H63" s="13" t="n">
        <f aca="false">+'Custo LOTE V'!H25</f>
        <v>50</v>
      </c>
      <c r="I63" s="22" t="n">
        <f aca="false">+J63*2</f>
        <v>0</v>
      </c>
      <c r="J63" s="23" t="n">
        <f aca="false">+'Vigilante 12X36 Diurno Arm'!$D$153</f>
        <v>0</v>
      </c>
      <c r="K63" s="22" t="n">
        <f aca="false">+J63*H63</f>
        <v>0</v>
      </c>
      <c r="L63" s="22" t="n">
        <f aca="false">+K63*12</f>
        <v>0</v>
      </c>
    </row>
    <row r="64" customFormat="false" ht="39.95" hidden="false" customHeight="true" outlineLevel="0" collapsed="false">
      <c r="A64" s="20"/>
      <c r="B64" s="32" t="s">
        <v>67</v>
      </c>
      <c r="C64" s="21" t="s">
        <v>40</v>
      </c>
      <c r="D64" s="21"/>
      <c r="E64" s="21" t="s">
        <v>38</v>
      </c>
      <c r="F64" s="21"/>
      <c r="G64" s="13" t="n">
        <f aca="false">+'Custo LOTE V'!G26</f>
        <v>24</v>
      </c>
      <c r="H64" s="13" t="n">
        <f aca="false">+'Custo LOTE V'!H26</f>
        <v>48</v>
      </c>
      <c r="I64" s="22" t="n">
        <f aca="false">+J64*2</f>
        <v>0</v>
      </c>
      <c r="J64" s="23" t="n">
        <f aca="false">+'Vigilante 12x36 Noturno Arm'!$D$153</f>
        <v>0</v>
      </c>
      <c r="K64" s="22" t="n">
        <f aca="false">+J64*H64</f>
        <v>0</v>
      </c>
      <c r="L64" s="22" t="n">
        <f aca="false">+K64*12</f>
        <v>0</v>
      </c>
    </row>
    <row r="65" customFormat="false" ht="39.95" hidden="false" customHeight="true" outlineLevel="0" collapsed="false">
      <c r="A65" s="20"/>
      <c r="B65" s="32" t="s">
        <v>68</v>
      </c>
      <c r="C65" s="21" t="s">
        <v>42</v>
      </c>
      <c r="D65" s="21"/>
      <c r="E65" s="21" t="s">
        <v>43</v>
      </c>
      <c r="F65" s="21"/>
      <c r="G65" s="13" t="n">
        <f aca="false">+'Custo LOTE V'!G27</f>
        <v>14</v>
      </c>
      <c r="H65" s="13" t="n">
        <f aca="false">+'Custo LOTE V'!H27</f>
        <v>14</v>
      </c>
      <c r="I65" s="22" t="n">
        <f aca="false">+J65</f>
        <v>0</v>
      </c>
      <c r="J65" s="23" t="n">
        <f aca="false">+'Vigilante 5x2 12h Arm'!$D$156</f>
        <v>0</v>
      </c>
      <c r="K65" s="22" t="n">
        <f aca="false">+J65*H65</f>
        <v>0</v>
      </c>
      <c r="L65" s="22" t="n">
        <f aca="false">+K65*12</f>
        <v>0</v>
      </c>
    </row>
    <row r="66" customFormat="false" ht="39.95" hidden="false" customHeight="true" outlineLevel="0" collapsed="false">
      <c r="A66" s="20"/>
      <c r="B66" s="32" t="s">
        <v>69</v>
      </c>
      <c r="C66" s="21" t="s">
        <v>52</v>
      </c>
      <c r="D66" s="21"/>
      <c r="E66" s="21" t="s">
        <v>38</v>
      </c>
      <c r="F66" s="21"/>
      <c r="G66" s="13" t="n">
        <f aca="false">+'Custo LOTE V'!G29</f>
        <v>4</v>
      </c>
      <c r="H66" s="13" t="n">
        <f aca="false">+'Custo LOTE V'!H29</f>
        <v>8</v>
      </c>
      <c r="I66" s="22" t="n">
        <f aca="false">+J66*2</f>
        <v>0</v>
      </c>
      <c r="J66" s="23" t="n">
        <f aca="false">+'Vigilante 12x36 Diurno Des'!$D$153</f>
        <v>0</v>
      </c>
      <c r="K66" s="22" t="n">
        <f aca="false">+J66*H66</f>
        <v>0</v>
      </c>
      <c r="L66" s="22" t="n">
        <f aca="false">+K66*12</f>
        <v>0</v>
      </c>
    </row>
    <row r="67" customFormat="false" ht="15" hidden="false" customHeight="false" outlineLevel="0" collapsed="false">
      <c r="D67" s="24"/>
      <c r="G67" s="25" t="n">
        <f aca="false">SUM(G63:G65)</f>
        <v>63</v>
      </c>
      <c r="H67" s="25" t="n">
        <f aca="false">SUM(H63:H65)</f>
        <v>112</v>
      </c>
      <c r="K67" s="26" t="n">
        <f aca="false">SUM(K63:K66)</f>
        <v>0</v>
      </c>
      <c r="L67" s="26" t="n">
        <f aca="false">SUM(L63:L66)</f>
        <v>0</v>
      </c>
    </row>
    <row r="68" customFormat="false" ht="6" hidden="false" customHeight="true" outlineLevel="0" collapsed="false"/>
    <row r="69" customFormat="false" ht="27.95" hidden="false" customHeight="true" outlineLevel="0" collapsed="false">
      <c r="A69" s="18" t="s">
        <v>27</v>
      </c>
      <c r="B69" s="18"/>
      <c r="C69" s="18"/>
      <c r="D69" s="18"/>
      <c r="E69" s="18" t="s">
        <v>28</v>
      </c>
      <c r="F69" s="18"/>
      <c r="G69" s="18" t="s">
        <v>29</v>
      </c>
      <c r="H69" s="18"/>
      <c r="I69" s="18" t="s">
        <v>30</v>
      </c>
      <c r="J69" s="18"/>
      <c r="K69" s="18"/>
      <c r="L69" s="18"/>
    </row>
    <row r="70" customFormat="false" ht="12.75" hidden="false" customHeight="false" outlineLevel="0" collapsed="false">
      <c r="A70" s="18"/>
      <c r="B70" s="18"/>
      <c r="C70" s="18"/>
      <c r="D70" s="18"/>
      <c r="E70" s="18"/>
      <c r="F70" s="18"/>
      <c r="G70" s="18" t="s">
        <v>31</v>
      </c>
      <c r="H70" s="18" t="s">
        <v>32</v>
      </c>
      <c r="I70" s="18" t="s">
        <v>31</v>
      </c>
      <c r="J70" s="18" t="s">
        <v>32</v>
      </c>
      <c r="K70" s="18" t="s">
        <v>33</v>
      </c>
      <c r="L70" s="18" t="s">
        <v>34</v>
      </c>
    </row>
    <row r="71" customFormat="false" ht="39.95" hidden="false" customHeight="true" outlineLevel="0" collapsed="false">
      <c r="A71" s="20" t="s">
        <v>70</v>
      </c>
      <c r="B71" s="10" t="s">
        <v>71</v>
      </c>
      <c r="C71" s="21" t="s">
        <v>37</v>
      </c>
      <c r="D71" s="21"/>
      <c r="E71" s="21" t="s">
        <v>38</v>
      </c>
      <c r="F71" s="21"/>
      <c r="G71" s="13" t="n">
        <f aca="false">+'Custo LOTE VI'!G16</f>
        <v>8</v>
      </c>
      <c r="H71" s="13" t="n">
        <f aca="false">+'Custo LOTE VI'!H16</f>
        <v>16</v>
      </c>
      <c r="I71" s="22" t="n">
        <f aca="false">+J71*2</f>
        <v>0</v>
      </c>
      <c r="J71" s="23" t="n">
        <f aca="false">+'Vigilante 12X36 Diurno Arm'!$D$153</f>
        <v>0</v>
      </c>
      <c r="K71" s="22" t="n">
        <f aca="false">+J71*H71</f>
        <v>0</v>
      </c>
      <c r="L71" s="22" t="n">
        <f aca="false">+K71*12</f>
        <v>0</v>
      </c>
    </row>
    <row r="72" customFormat="false" ht="39.95" hidden="false" customHeight="true" outlineLevel="0" collapsed="false">
      <c r="A72" s="20"/>
      <c r="B72" s="10" t="s">
        <v>72</v>
      </c>
      <c r="C72" s="21" t="s">
        <v>40</v>
      </c>
      <c r="D72" s="21"/>
      <c r="E72" s="21" t="s">
        <v>38</v>
      </c>
      <c r="F72" s="21"/>
      <c r="G72" s="13" t="n">
        <f aca="false">+'Custo LOTE VI'!G17</f>
        <v>9</v>
      </c>
      <c r="H72" s="13" t="n">
        <f aca="false">+'Custo LOTE VI'!H17</f>
        <v>18</v>
      </c>
      <c r="I72" s="22" t="n">
        <f aca="false">+J72*2</f>
        <v>0</v>
      </c>
      <c r="J72" s="23" t="n">
        <f aca="false">+'Vigilante 12x36 Noturno Arm'!$D$153</f>
        <v>0</v>
      </c>
      <c r="K72" s="22" t="n">
        <f aca="false">+J72*H72</f>
        <v>0</v>
      </c>
      <c r="L72" s="22" t="n">
        <f aca="false">+K72*12</f>
        <v>0</v>
      </c>
    </row>
    <row r="73" customFormat="false" ht="39.95" hidden="false" customHeight="true" outlineLevel="0" collapsed="false">
      <c r="A73" s="20"/>
      <c r="B73" s="10" t="s">
        <v>73</v>
      </c>
      <c r="C73" s="21" t="s">
        <v>42</v>
      </c>
      <c r="D73" s="21"/>
      <c r="E73" s="21" t="s">
        <v>43</v>
      </c>
      <c r="F73" s="21"/>
      <c r="G73" s="13" t="n">
        <f aca="false">+'Custo LOTE VI'!G18</f>
        <v>4</v>
      </c>
      <c r="H73" s="13" t="n">
        <f aca="false">+'Custo LOTE VI'!H18</f>
        <v>4</v>
      </c>
      <c r="I73" s="22" t="n">
        <f aca="false">+J73</f>
        <v>0</v>
      </c>
      <c r="J73" s="23" t="n">
        <f aca="false">+'Vigilante 5x2 12h Arm'!$D$156</f>
        <v>0</v>
      </c>
      <c r="K73" s="22" t="n">
        <f aca="false">+J73*H73</f>
        <v>0</v>
      </c>
      <c r="L73" s="22" t="n">
        <f aca="false">+K73*12</f>
        <v>0</v>
      </c>
    </row>
    <row r="74" customFormat="false" ht="39.95" hidden="false" customHeight="true" outlineLevel="0" collapsed="false">
      <c r="A74" s="20"/>
      <c r="B74" s="10" t="s">
        <v>74</v>
      </c>
      <c r="C74" s="21" t="s">
        <v>52</v>
      </c>
      <c r="D74" s="21"/>
      <c r="E74" s="21" t="s">
        <v>38</v>
      </c>
      <c r="F74" s="21"/>
      <c r="G74" s="13" t="n">
        <f aca="false">+'Custo LOTE VI'!G20</f>
        <v>2</v>
      </c>
      <c r="H74" s="13" t="n">
        <f aca="false">+'Custo LOTE VI'!H20</f>
        <v>4</v>
      </c>
      <c r="I74" s="22" t="n">
        <f aca="false">+J74*2</f>
        <v>0</v>
      </c>
      <c r="J74" s="23" t="n">
        <f aca="false">+'Vigilante 12x36 Diurno Des'!$D$153</f>
        <v>0</v>
      </c>
      <c r="K74" s="22" t="n">
        <f aca="false">+J74*H74</f>
        <v>0</v>
      </c>
      <c r="L74" s="22" t="n">
        <f aca="false">+K74*12</f>
        <v>0</v>
      </c>
    </row>
    <row r="75" customFormat="false" ht="15" hidden="false" customHeight="false" outlineLevel="0" collapsed="false">
      <c r="D75" s="24"/>
      <c r="G75" s="25" t="n">
        <f aca="false">SUM(G71:G74)</f>
        <v>23</v>
      </c>
      <c r="H75" s="25" t="n">
        <f aca="false">SUM(H71:H74)</f>
        <v>42</v>
      </c>
      <c r="K75" s="26" t="n">
        <f aca="false">SUM(K71:K74)</f>
        <v>0</v>
      </c>
      <c r="L75" s="26" t="n">
        <f aca="false">SUM(L71:L74)</f>
        <v>0</v>
      </c>
    </row>
    <row r="76" customFormat="false" ht="6" hidden="false" customHeight="true" outlineLevel="0" collapsed="false"/>
    <row r="77" customFormat="false" ht="27.95" hidden="false" customHeight="true" outlineLevel="0" collapsed="false">
      <c r="A77" s="18" t="s">
        <v>27</v>
      </c>
      <c r="B77" s="18"/>
      <c r="C77" s="18"/>
      <c r="D77" s="18"/>
      <c r="E77" s="18" t="s">
        <v>28</v>
      </c>
      <c r="F77" s="18"/>
      <c r="G77" s="18" t="s">
        <v>29</v>
      </c>
      <c r="H77" s="18"/>
      <c r="I77" s="18" t="s">
        <v>30</v>
      </c>
      <c r="J77" s="18"/>
      <c r="K77" s="18"/>
      <c r="L77" s="18"/>
    </row>
    <row r="78" customFormat="false" ht="12.75" hidden="false" customHeight="false" outlineLevel="0" collapsed="false">
      <c r="A78" s="18"/>
      <c r="B78" s="18"/>
      <c r="C78" s="18"/>
      <c r="D78" s="18"/>
      <c r="E78" s="18"/>
      <c r="F78" s="18"/>
      <c r="G78" s="18" t="s">
        <v>31</v>
      </c>
      <c r="H78" s="18" t="s">
        <v>32</v>
      </c>
      <c r="I78" s="18" t="s">
        <v>31</v>
      </c>
      <c r="J78" s="18" t="s">
        <v>32</v>
      </c>
      <c r="K78" s="18" t="s">
        <v>33</v>
      </c>
      <c r="L78" s="18" t="s">
        <v>34</v>
      </c>
    </row>
    <row r="79" customFormat="false" ht="39.95" hidden="false" customHeight="true" outlineLevel="0" collapsed="false">
      <c r="A79" s="20" t="s">
        <v>75</v>
      </c>
      <c r="B79" s="10" t="s">
        <v>76</v>
      </c>
      <c r="C79" s="21" t="s">
        <v>37</v>
      </c>
      <c r="D79" s="21"/>
      <c r="E79" s="21" t="s">
        <v>38</v>
      </c>
      <c r="F79" s="21"/>
      <c r="G79" s="13" t="n">
        <f aca="false">+'Custo LOTE VII'!G19</f>
        <v>8</v>
      </c>
      <c r="H79" s="13" t="n">
        <f aca="false">+'Custo LOTE VII'!H19</f>
        <v>16</v>
      </c>
      <c r="I79" s="22" t="n">
        <f aca="false">+J79*2</f>
        <v>0</v>
      </c>
      <c r="J79" s="23" t="n">
        <f aca="false">+'Vigilante 12X36 Diurno Arm'!$D$153</f>
        <v>0</v>
      </c>
      <c r="K79" s="22" t="n">
        <f aca="false">+J79*H79</f>
        <v>0</v>
      </c>
      <c r="L79" s="22" t="n">
        <f aca="false">+K79*12</f>
        <v>0</v>
      </c>
    </row>
    <row r="80" customFormat="false" ht="39.95" hidden="false" customHeight="true" outlineLevel="0" collapsed="false">
      <c r="A80" s="20"/>
      <c r="B80" s="10" t="s">
        <v>77</v>
      </c>
      <c r="C80" s="21" t="s">
        <v>40</v>
      </c>
      <c r="D80" s="21"/>
      <c r="E80" s="21" t="s">
        <v>38</v>
      </c>
      <c r="F80" s="21"/>
      <c r="G80" s="13" t="n">
        <f aca="false">+'Custo LOTE VII'!G20</f>
        <v>8</v>
      </c>
      <c r="H80" s="13" t="n">
        <f aca="false">+'Custo LOTE VII'!H20</f>
        <v>16</v>
      </c>
      <c r="I80" s="22" t="n">
        <f aca="false">+J80*2</f>
        <v>0</v>
      </c>
      <c r="J80" s="23" t="n">
        <f aca="false">+'Vigilante 12x36 Noturno Arm'!$D$153</f>
        <v>0</v>
      </c>
      <c r="K80" s="22" t="n">
        <f aca="false">+J80*H80</f>
        <v>0</v>
      </c>
      <c r="L80" s="22" t="n">
        <f aca="false">+K80*12</f>
        <v>0</v>
      </c>
    </row>
    <row r="81" customFormat="false" ht="39.95" hidden="false" customHeight="true" outlineLevel="0" collapsed="false">
      <c r="A81" s="20"/>
      <c r="B81" s="10" t="s">
        <v>78</v>
      </c>
      <c r="C81" s="21" t="s">
        <v>45</v>
      </c>
      <c r="D81" s="21"/>
      <c r="E81" s="21" t="s">
        <v>43</v>
      </c>
      <c r="F81" s="21"/>
      <c r="G81" s="13" t="n">
        <f aca="false">+'Custo LOTE VII'!G21</f>
        <v>1</v>
      </c>
      <c r="H81" s="13" t="n">
        <f aca="false">+'Custo LOTE VII'!H21</f>
        <v>1</v>
      </c>
      <c r="I81" s="22" t="n">
        <f aca="false">+J81</f>
        <v>0</v>
      </c>
      <c r="J81" s="23" t="n">
        <f aca="false">+'Vigilante 44h Arm'!$D$155</f>
        <v>0</v>
      </c>
      <c r="K81" s="22" t="n">
        <f aca="false">+J81*H81</f>
        <v>0</v>
      </c>
      <c r="L81" s="22" t="n">
        <f aca="false">+K81*12</f>
        <v>0</v>
      </c>
    </row>
    <row r="82" customFormat="false" ht="12.75" hidden="false" customHeight="false" outlineLevel="0" collapsed="false">
      <c r="G82" s="25" t="n">
        <f aca="false">SUM(G79:G81)</f>
        <v>17</v>
      </c>
      <c r="H82" s="25" t="n">
        <f aca="false">SUM(H79:H81)</f>
        <v>33</v>
      </c>
      <c r="K82" s="26" t="n">
        <f aca="false">SUM(K79:K81)</f>
        <v>0</v>
      </c>
      <c r="L82" s="26" t="n">
        <f aca="false">SUM(L79:L81)</f>
        <v>0</v>
      </c>
    </row>
    <row r="83" customFormat="false" ht="6" hidden="false" customHeight="true" outlineLevel="0" collapsed="false"/>
    <row r="84" customFormat="false" ht="17.25" hidden="false" customHeight="true" outlineLevel="0" collapsed="false">
      <c r="K84" s="33" t="s">
        <v>79</v>
      </c>
      <c r="L84" s="33" t="s">
        <v>80</v>
      </c>
    </row>
    <row r="85" customFormat="false" ht="12.75" hidden="false" customHeight="false" outlineLevel="0" collapsed="false">
      <c r="K85" s="26" t="n">
        <f aca="false">+K82+K75+K67+K59+K50+K43+K33</f>
        <v>0</v>
      </c>
      <c r="L85" s="26" t="n">
        <f aca="false">+L82+L75+L67+L59+L50+L43+L33</f>
        <v>0</v>
      </c>
    </row>
  </sheetData>
  <mergeCells count="118">
    <mergeCell ref="A1:L1"/>
    <mergeCell ref="A3:H3"/>
    <mergeCell ref="A4:C4"/>
    <mergeCell ref="E4:H4"/>
    <mergeCell ref="A5:H5"/>
    <mergeCell ref="A6:H6"/>
    <mergeCell ref="A7:H7"/>
    <mergeCell ref="A9:L10"/>
    <mergeCell ref="A11:C11"/>
    <mergeCell ref="A13:C13"/>
    <mergeCell ref="D13:H13"/>
    <mergeCell ref="A14:C14"/>
    <mergeCell ref="D14:H14"/>
    <mergeCell ref="A16:H16"/>
    <mergeCell ref="A18:H18"/>
    <mergeCell ref="B20:E20"/>
    <mergeCell ref="F20:L20"/>
    <mergeCell ref="B21:E21"/>
    <mergeCell ref="F21:L21"/>
    <mergeCell ref="B22:E22"/>
    <mergeCell ref="F22:L22"/>
    <mergeCell ref="B23:E23"/>
    <mergeCell ref="I23:J23"/>
    <mergeCell ref="K23:L23"/>
    <mergeCell ref="A25:H25"/>
    <mergeCell ref="A27:D28"/>
    <mergeCell ref="E27:F28"/>
    <mergeCell ref="G27:H27"/>
    <mergeCell ref="I27:L27"/>
    <mergeCell ref="A29:A32"/>
    <mergeCell ref="C29:D29"/>
    <mergeCell ref="E29:F29"/>
    <mergeCell ref="C30:D30"/>
    <mergeCell ref="E30:F30"/>
    <mergeCell ref="C31:D31"/>
    <mergeCell ref="E31:F31"/>
    <mergeCell ref="C32:D32"/>
    <mergeCell ref="E32:F32"/>
    <mergeCell ref="A35:D36"/>
    <mergeCell ref="E35:F36"/>
    <mergeCell ref="G35:H35"/>
    <mergeCell ref="I35:L35"/>
    <mergeCell ref="A37:A42"/>
    <mergeCell ref="C37:D37"/>
    <mergeCell ref="E37:F37"/>
    <mergeCell ref="C38:D38"/>
    <mergeCell ref="E38:F38"/>
    <mergeCell ref="C39:D39"/>
    <mergeCell ref="E39:F39"/>
    <mergeCell ref="C40:D40"/>
    <mergeCell ref="E40:F40"/>
    <mergeCell ref="C41:D41"/>
    <mergeCell ref="E41:F41"/>
    <mergeCell ref="C42:D42"/>
    <mergeCell ref="E42:F42"/>
    <mergeCell ref="A45:D46"/>
    <mergeCell ref="E45:F46"/>
    <mergeCell ref="G45:H45"/>
    <mergeCell ref="I45:L45"/>
    <mergeCell ref="A47:A49"/>
    <mergeCell ref="C47:D47"/>
    <mergeCell ref="E47:F47"/>
    <mergeCell ref="C48:D48"/>
    <mergeCell ref="E48:F48"/>
    <mergeCell ref="C49:D49"/>
    <mergeCell ref="E49:F49"/>
    <mergeCell ref="A52:D53"/>
    <mergeCell ref="E52:F53"/>
    <mergeCell ref="G52:H52"/>
    <mergeCell ref="I52:L52"/>
    <mergeCell ref="A54:A58"/>
    <mergeCell ref="C54:D54"/>
    <mergeCell ref="E54:F54"/>
    <mergeCell ref="C55:D55"/>
    <mergeCell ref="E55:F55"/>
    <mergeCell ref="C56:D56"/>
    <mergeCell ref="E56:F56"/>
    <mergeCell ref="C57:D57"/>
    <mergeCell ref="E57:F57"/>
    <mergeCell ref="C58:D58"/>
    <mergeCell ref="E58:F58"/>
    <mergeCell ref="A61:D62"/>
    <mergeCell ref="E61:F62"/>
    <mergeCell ref="G61:H61"/>
    <mergeCell ref="I61:L61"/>
    <mergeCell ref="A63:A66"/>
    <mergeCell ref="C63:D63"/>
    <mergeCell ref="E63:F63"/>
    <mergeCell ref="C64:D64"/>
    <mergeCell ref="E64:F64"/>
    <mergeCell ref="C65:D65"/>
    <mergeCell ref="E65:F65"/>
    <mergeCell ref="C66:D66"/>
    <mergeCell ref="E66:F66"/>
    <mergeCell ref="A69:D70"/>
    <mergeCell ref="E69:F70"/>
    <mergeCell ref="G69:H69"/>
    <mergeCell ref="I69:L69"/>
    <mergeCell ref="A71:A74"/>
    <mergeCell ref="C71:D71"/>
    <mergeCell ref="E71:F71"/>
    <mergeCell ref="C72:D72"/>
    <mergeCell ref="E72:F72"/>
    <mergeCell ref="C73:D73"/>
    <mergeCell ref="E73:F73"/>
    <mergeCell ref="C74:D74"/>
    <mergeCell ref="E74:F74"/>
    <mergeCell ref="A77:D78"/>
    <mergeCell ref="E77:F78"/>
    <mergeCell ref="G77:H77"/>
    <mergeCell ref="I77:L77"/>
    <mergeCell ref="A79:A81"/>
    <mergeCell ref="C79:D79"/>
    <mergeCell ref="E79:F79"/>
    <mergeCell ref="C80:D80"/>
    <mergeCell ref="E80:F80"/>
    <mergeCell ref="C81:D81"/>
    <mergeCell ref="E81:F81"/>
  </mergeCells>
  <printOptions headings="false" gridLines="false" gridLinesSet="true" horizontalCentered="false" verticalCentered="false"/>
  <pageMargins left="0.865972222222222" right="0.118055555555556" top="0.551388888888889" bottom="0.39375" header="0.511805555555555" footer="0.157638888888889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&amp;C&amp;A&amp;R&amp;P de &amp;N</oddFooter>
  </headerFooter>
  <rowBreaks count="3" manualBreakCount="3">
    <brk id="34" man="true" max="16383" min="0"/>
    <brk id="51" man="true" max="16383" min="0"/>
    <brk id="68" man="true" max="16383" min="0"/>
  </rowBreaks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604A7B"/>
    <pageSetUpPr fitToPage="false"/>
  </sheetPr>
  <dimension ref="A1:F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8" activeCellId="0" sqref="A28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1.75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3" customFormat="false" ht="12.75" hidden="false" customHeight="false" outlineLevel="0" collapsed="false">
      <c r="A3" s="205" t="s">
        <v>188</v>
      </c>
      <c r="B3" s="205"/>
      <c r="C3" s="205"/>
      <c r="D3" s="205"/>
    </row>
    <row r="4" s="19" customFormat="true" ht="28.5" hidden="false" customHeight="true" outlineLevel="0" collapsed="false">
      <c r="A4" s="206" t="n">
        <v>1</v>
      </c>
      <c r="B4" s="207" t="s">
        <v>189</v>
      </c>
      <c r="C4" s="208" t="s">
        <v>190</v>
      </c>
      <c r="D4" s="208"/>
    </row>
    <row r="5" s="19" customFormat="true" ht="12.75" hidden="false" customHeight="false" outlineLevel="0" collapsed="false">
      <c r="A5" s="206" t="n">
        <v>2</v>
      </c>
      <c r="B5" s="207" t="s">
        <v>191</v>
      </c>
      <c r="C5" s="209" t="s">
        <v>24</v>
      </c>
      <c r="D5" s="209"/>
    </row>
    <row r="6" s="19" customFormat="true" ht="12.75" hidden="false" customHeight="false" outlineLevel="0" collapsed="false">
      <c r="A6" s="206" t="n">
        <v>3</v>
      </c>
      <c r="B6" s="207" t="s">
        <v>192</v>
      </c>
      <c r="C6" s="210"/>
      <c r="D6" s="210"/>
    </row>
    <row r="7" s="19" customFormat="true" ht="42.75" hidden="false" customHeight="true" outlineLevel="0" collapsed="false">
      <c r="A7" s="206" t="n">
        <v>4</v>
      </c>
      <c r="B7" s="207" t="s">
        <v>193</v>
      </c>
      <c r="C7" s="211" t="s">
        <v>194</v>
      </c>
      <c r="D7" s="211"/>
    </row>
    <row r="8" s="19" customFormat="true" ht="12.75" hidden="false" customHeight="false" outlineLevel="0" collapsed="false">
      <c r="A8" s="206" t="n">
        <v>5</v>
      </c>
      <c r="B8" s="207" t="s">
        <v>195</v>
      </c>
      <c r="C8" s="212" t="n">
        <v>42795</v>
      </c>
      <c r="D8" s="212"/>
    </row>
    <row r="9" customFormat="false" ht="12.75" hidden="false" customHeight="false" outlineLevel="0" collapsed="false">
      <c r="D9" s="213"/>
    </row>
    <row r="10" customFormat="false" ht="12.75" hidden="false" customHeight="false" outlineLevel="0" collapsed="false">
      <c r="A10" s="214" t="s">
        <v>196</v>
      </c>
      <c r="B10" s="214"/>
      <c r="C10" s="214"/>
      <c r="D10" s="214"/>
    </row>
    <row r="11" customFormat="false" ht="12.75" hidden="false" customHeight="false" outlineLevel="0" collapsed="false">
      <c r="A11" s="215" t="n">
        <v>1</v>
      </c>
      <c r="B11" s="216" t="s">
        <v>197</v>
      </c>
      <c r="C11" s="17" t="s">
        <v>198</v>
      </c>
      <c r="D11" s="217" t="s">
        <v>199</v>
      </c>
    </row>
    <row r="12" customFormat="false" ht="12.75" hidden="false" customHeight="false" outlineLevel="0" collapsed="false">
      <c r="A12" s="10" t="s">
        <v>14</v>
      </c>
      <c r="B12" s="10" t="s">
        <v>200</v>
      </c>
      <c r="C12" s="10"/>
      <c r="D12" s="29" t="n">
        <f aca="false">+C6</f>
        <v>0</v>
      </c>
    </row>
    <row r="13" customFormat="false" ht="12.75" hidden="false" customHeight="false" outlineLevel="0" collapsed="false">
      <c r="A13" s="10" t="s">
        <v>16</v>
      </c>
      <c r="B13" s="218" t="s">
        <v>201</v>
      </c>
      <c r="C13" s="219" t="n">
        <v>0.3</v>
      </c>
      <c r="D13" s="29" t="n">
        <f aca="false">+C13*D12</f>
        <v>0</v>
      </c>
      <c r="E13" s="103"/>
    </row>
    <row r="14" customFormat="false" ht="12.75" hidden="false" customHeight="false" outlineLevel="0" collapsed="false">
      <c r="A14" s="10" t="s">
        <v>19</v>
      </c>
      <c r="B14" s="218" t="s">
        <v>202</v>
      </c>
      <c r="C14" s="219"/>
      <c r="D14" s="29"/>
    </row>
    <row r="15" customFormat="false" ht="12.75" hidden="false" customHeight="false" outlineLevel="0" collapsed="false">
      <c r="A15" s="10" t="s">
        <v>21</v>
      </c>
      <c r="B15" s="10" t="s">
        <v>203</v>
      </c>
      <c r="C15" s="10"/>
      <c r="D15" s="29"/>
    </row>
    <row r="16" customFormat="false" ht="12.75" hidden="false" customHeight="false" outlineLevel="0" collapsed="false">
      <c r="A16" s="10" t="s">
        <v>204</v>
      </c>
      <c r="B16" s="10" t="s">
        <v>205</v>
      </c>
      <c r="C16" s="10"/>
      <c r="D16" s="29"/>
    </row>
    <row r="17" customFormat="false" ht="12.75" hidden="false" customHeight="false" outlineLevel="0" collapsed="false">
      <c r="A17" s="10" t="s">
        <v>206</v>
      </c>
      <c r="B17" s="10" t="s">
        <v>207</v>
      </c>
      <c r="C17" s="10"/>
      <c r="D17" s="29"/>
    </row>
    <row r="18" customFormat="false" ht="12.75" hidden="false" customHeight="false" outlineLevel="0" collapsed="false">
      <c r="A18" s="10" t="s">
        <v>208</v>
      </c>
      <c r="B18" s="10" t="s">
        <v>209</v>
      </c>
      <c r="C18" s="10"/>
      <c r="D18" s="29"/>
    </row>
    <row r="19" customFormat="false" ht="12.75" hidden="false" customHeight="false" outlineLevel="0" collapsed="false">
      <c r="A19" s="10" t="s">
        <v>210</v>
      </c>
      <c r="B19" s="10" t="s">
        <v>211</v>
      </c>
      <c r="C19" s="10"/>
      <c r="D19" s="29"/>
    </row>
    <row r="20" customFormat="false" ht="12.75" hidden="false" customHeight="false" outlineLevel="0" collapsed="false">
      <c r="A20" s="10" t="s">
        <v>212</v>
      </c>
      <c r="B20" s="218" t="s">
        <v>213</v>
      </c>
      <c r="C20" s="219"/>
      <c r="D20" s="29"/>
    </row>
    <row r="21" customFormat="false" ht="12.75" hidden="false" customHeight="false" outlineLevel="0" collapsed="false">
      <c r="A21" s="10" t="s">
        <v>214</v>
      </c>
      <c r="B21" s="10" t="s">
        <v>215</v>
      </c>
      <c r="C21" s="10"/>
      <c r="D21" s="78"/>
      <c r="F21" s="220"/>
    </row>
    <row r="22" customFormat="false" ht="12.75" hidden="false" customHeight="false" outlineLevel="0" collapsed="false">
      <c r="A22" s="10" t="s">
        <v>216</v>
      </c>
      <c r="B22" s="10" t="s">
        <v>217</v>
      </c>
      <c r="C22" s="10"/>
      <c r="D22" s="78"/>
    </row>
    <row r="23" customFormat="false" ht="12.75" hidden="false" customHeight="false" outlineLevel="0" collapsed="false">
      <c r="A23" s="205" t="s">
        <v>218</v>
      </c>
      <c r="B23" s="205"/>
      <c r="C23" s="205"/>
      <c r="D23" s="27" t="n">
        <f aca="false">SUM(D12:D22)</f>
        <v>0</v>
      </c>
    </row>
    <row r="25" customFormat="false" ht="12.75" hidden="false" customHeight="false" outlineLevel="0" collapsed="false">
      <c r="A25" s="214" t="s">
        <v>219</v>
      </c>
      <c r="B25" s="214"/>
      <c r="C25" s="214"/>
      <c r="D25" s="214"/>
    </row>
    <row r="27" customFormat="false" ht="12.75" hidden="false" customHeight="false" outlineLevel="0" collapsed="false">
      <c r="A27" s="214" t="s">
        <v>220</v>
      </c>
      <c r="B27" s="214"/>
      <c r="C27" s="214"/>
      <c r="D27" s="214"/>
    </row>
    <row r="28" customFormat="false" ht="12.75" hidden="false" customHeight="false" outlineLevel="0" collapsed="false">
      <c r="A28" s="221" t="s">
        <v>221</v>
      </c>
      <c r="B28" s="222" t="s">
        <v>222</v>
      </c>
      <c r="C28" s="223" t="s">
        <v>198</v>
      </c>
      <c r="D28" s="224" t="s">
        <v>199</v>
      </c>
    </row>
    <row r="29" customFormat="false" ht="12.75" hidden="false" customHeight="false" outlineLevel="0" collapsed="false">
      <c r="A29" s="10" t="s">
        <v>14</v>
      </c>
      <c r="B29" s="128" t="s">
        <v>223</v>
      </c>
      <c r="C29" s="225" t="e">
        <f aca="false">ROUND(+D29/$D$23,4)</f>
        <v>#DIV/0!</v>
      </c>
      <c r="D29" s="78" t="n">
        <f aca="false">ROUND(+D23/12,2)</f>
        <v>0</v>
      </c>
    </row>
    <row r="30" customFormat="false" ht="12.75" hidden="false" customHeight="false" outlineLevel="0" collapsed="false">
      <c r="A30" s="226" t="s">
        <v>16</v>
      </c>
      <c r="B30" s="227" t="s">
        <v>224</v>
      </c>
      <c r="C30" s="228" t="e">
        <f aca="false">ROUND(+D30/$D$23,4)</f>
        <v>#DIV/0!</v>
      </c>
      <c r="D30" s="229" t="n">
        <f aca="false">+D31+D32</f>
        <v>0</v>
      </c>
    </row>
    <row r="31" customFormat="false" ht="12.75" hidden="false" customHeight="false" outlineLevel="0" collapsed="false">
      <c r="A31" s="10" t="s">
        <v>225</v>
      </c>
      <c r="B31" s="230" t="s">
        <v>226</v>
      </c>
      <c r="C31" s="231" t="e">
        <f aca="false">ROUND(+D31/$D$23,4)</f>
        <v>#DIV/0!</v>
      </c>
      <c r="D31" s="232" t="n">
        <f aca="false">ROUND(+D23/12,2)</f>
        <v>0</v>
      </c>
    </row>
    <row r="32" customFormat="false" ht="12.75" hidden="false" customHeight="false" outlineLevel="0" collapsed="false">
      <c r="A32" s="10" t="s">
        <v>227</v>
      </c>
      <c r="B32" s="230" t="s">
        <v>228</v>
      </c>
      <c r="C32" s="231" t="e">
        <f aca="false">ROUND(+D32/$D$23,4)</f>
        <v>#DIV/0!</v>
      </c>
      <c r="D32" s="232" t="n">
        <f aca="false">ROUND(+(D23*1/3)/12,2)</f>
        <v>0</v>
      </c>
    </row>
    <row r="33" customFormat="false" ht="12.75" hidden="false" customHeight="false" outlineLevel="0" collapsed="false">
      <c r="A33" s="205" t="s">
        <v>218</v>
      </c>
      <c r="B33" s="205"/>
      <c r="C33" s="205"/>
      <c r="D33" s="27" t="n">
        <f aca="false">+D30+D29</f>
        <v>0</v>
      </c>
    </row>
    <row r="35" customFormat="false" ht="29.25" hidden="false" customHeight="true" outlineLevel="0" collapsed="false">
      <c r="A35" s="233" t="s">
        <v>229</v>
      </c>
      <c r="B35" s="233"/>
      <c r="C35" s="233"/>
      <c r="D35" s="233"/>
    </row>
    <row r="36" customFormat="false" ht="12.75" hidden="false" customHeight="false" outlineLevel="0" collapsed="false">
      <c r="A36" s="221" t="s">
        <v>230</v>
      </c>
      <c r="B36" s="234" t="s">
        <v>231</v>
      </c>
      <c r="C36" s="223" t="s">
        <v>198</v>
      </c>
      <c r="D36" s="224" t="s">
        <v>199</v>
      </c>
    </row>
    <row r="37" customFormat="false" ht="12.75" hidden="false" customHeight="false" outlineLevel="0" collapsed="false">
      <c r="A37" s="10" t="s">
        <v>14</v>
      </c>
      <c r="B37" s="128" t="s">
        <v>232</v>
      </c>
      <c r="C37" s="225" t="n">
        <v>0.2</v>
      </c>
      <c r="D37" s="129" t="n">
        <f aca="false">ROUND(C37*($D$23+$D$33),2)</f>
        <v>0</v>
      </c>
    </row>
    <row r="38" customFormat="false" ht="12.75" hidden="false" customHeight="false" outlineLevel="0" collapsed="false">
      <c r="A38" s="10" t="s">
        <v>16</v>
      </c>
      <c r="B38" s="128" t="s">
        <v>233</v>
      </c>
      <c r="C38" s="225" t="n">
        <v>0.025</v>
      </c>
      <c r="D38" s="129" t="n">
        <f aca="false">ROUND(C38*($D$23+$D$33),2)</f>
        <v>0</v>
      </c>
    </row>
    <row r="39" customFormat="false" ht="12.75" hidden="false" customHeight="false" outlineLevel="0" collapsed="false">
      <c r="A39" s="10" t="s">
        <v>19</v>
      </c>
      <c r="B39" s="128" t="s">
        <v>234</v>
      </c>
      <c r="C39" s="225" t="n">
        <f aca="false">3%</f>
        <v>0.03</v>
      </c>
      <c r="D39" s="129" t="n">
        <f aca="false">ROUND(C39*($D$23+$D$33),2)</f>
        <v>0</v>
      </c>
    </row>
    <row r="40" customFormat="false" ht="12.75" hidden="false" customHeight="false" outlineLevel="0" collapsed="false">
      <c r="A40" s="10" t="s">
        <v>21</v>
      </c>
      <c r="B40" s="128" t="s">
        <v>235</v>
      </c>
      <c r="C40" s="225" t="n">
        <v>0.015</v>
      </c>
      <c r="D40" s="129" t="n">
        <f aca="false">ROUND(C40*($D$23+$D$33),2)</f>
        <v>0</v>
      </c>
    </row>
    <row r="41" customFormat="false" ht="12.75" hidden="false" customHeight="false" outlineLevel="0" collapsed="false">
      <c r="A41" s="10" t="s">
        <v>204</v>
      </c>
      <c r="B41" s="128" t="s">
        <v>236</v>
      </c>
      <c r="C41" s="225" t="n">
        <v>0.01</v>
      </c>
      <c r="D41" s="129" t="n">
        <f aca="false">ROUND(C41*($D$23+$D$33),2)</f>
        <v>0</v>
      </c>
    </row>
    <row r="42" customFormat="false" ht="12.75" hidden="false" customHeight="false" outlineLevel="0" collapsed="false">
      <c r="A42" s="10" t="s">
        <v>206</v>
      </c>
      <c r="B42" s="128" t="s">
        <v>237</v>
      </c>
      <c r="C42" s="225" t="n">
        <v>0.006</v>
      </c>
      <c r="D42" s="129" t="n">
        <f aca="false">ROUND(C42*($D$23+$D$33),2)</f>
        <v>0</v>
      </c>
    </row>
    <row r="43" customFormat="false" ht="12.75" hidden="false" customHeight="false" outlineLevel="0" collapsed="false">
      <c r="A43" s="10" t="s">
        <v>208</v>
      </c>
      <c r="B43" s="128" t="s">
        <v>238</v>
      </c>
      <c r="C43" s="225" t="n">
        <v>0.002</v>
      </c>
      <c r="D43" s="129" t="n">
        <f aca="false">ROUND(C43*($D$23+$D$33),2)</f>
        <v>0</v>
      </c>
    </row>
    <row r="44" customFormat="false" ht="12.75" hidden="false" customHeight="false" outlineLevel="0" collapsed="false">
      <c r="A44" s="10" t="s">
        <v>210</v>
      </c>
      <c r="B44" s="128" t="s">
        <v>239</v>
      </c>
      <c r="C44" s="225" t="n">
        <v>0.08</v>
      </c>
      <c r="D44" s="129" t="n">
        <f aca="false">ROUND(C44*($D$23+$D$33),2)</f>
        <v>0</v>
      </c>
    </row>
    <row r="45" customFormat="false" ht="12.75" hidden="false" customHeight="false" outlineLevel="0" collapsed="false">
      <c r="A45" s="235" t="s">
        <v>218</v>
      </c>
      <c r="B45" s="236"/>
      <c r="C45" s="237" t="n">
        <f aca="false">SUM(C37:C44)</f>
        <v>0.368</v>
      </c>
      <c r="D45" s="238" t="n">
        <f aca="false">SUM(D37:D44)</f>
        <v>0</v>
      </c>
    </row>
    <row r="46" customFormat="false" ht="12.75" hidden="false" customHeight="false" outlineLevel="0" collapsed="false">
      <c r="A46" s="239"/>
      <c r="B46" s="239"/>
      <c r="C46" s="239"/>
      <c r="D46" s="239"/>
    </row>
    <row r="47" customFormat="false" ht="12.75" hidden="false" customHeight="true" outlineLevel="0" collapsed="false">
      <c r="A47" s="233" t="s">
        <v>240</v>
      </c>
      <c r="B47" s="233"/>
      <c r="C47" s="233"/>
      <c r="D47" s="233"/>
    </row>
    <row r="48" customFormat="false" ht="12.75" hidden="false" customHeight="false" outlineLevel="0" collapsed="false">
      <c r="A48" s="221" t="s">
        <v>241</v>
      </c>
      <c r="B48" s="234" t="s">
        <v>242</v>
      </c>
      <c r="C48" s="223"/>
      <c r="D48" s="224" t="s">
        <v>199</v>
      </c>
    </row>
    <row r="49" customFormat="false" ht="12.75" hidden="false" customHeight="false" outlineLevel="0" collapsed="false">
      <c r="A49" s="240" t="s">
        <v>14</v>
      </c>
      <c r="B49" s="128" t="s">
        <v>243</v>
      </c>
      <c r="C49" s="241"/>
      <c r="D49" s="129" t="n">
        <f aca="false">+'Calculo 12 36 Diu Arm'!C107</f>
        <v>0</v>
      </c>
    </row>
    <row r="50" s="34" customFormat="true" ht="12.75" hidden="false" customHeight="false" outlineLevel="0" collapsed="false">
      <c r="A50" s="242" t="s">
        <v>244</v>
      </c>
      <c r="B50" s="110" t="s">
        <v>245</v>
      </c>
      <c r="C50" s="225" t="n">
        <f aca="false">+$C$135+$C$136</f>
        <v>0.0365</v>
      </c>
      <c r="D50" s="243" t="n">
        <f aca="false">+(C50*D49)*-1</f>
        <v>0</v>
      </c>
      <c r="F50" s="116"/>
    </row>
    <row r="51" customFormat="false" ht="12.75" hidden="false" customHeight="false" outlineLevel="0" collapsed="false">
      <c r="A51" s="240" t="s">
        <v>16</v>
      </c>
      <c r="B51" s="128" t="s">
        <v>246</v>
      </c>
      <c r="C51" s="241"/>
      <c r="D51" s="129" t="n">
        <f aca="false">+'Calculo 12 36 Diu Arm'!C116</f>
        <v>0</v>
      </c>
      <c r="F51" s="244"/>
    </row>
    <row r="52" s="34" customFormat="true" ht="12.75" hidden="false" customHeight="false" outlineLevel="0" collapsed="false">
      <c r="A52" s="242" t="s">
        <v>225</v>
      </c>
      <c r="B52" s="110" t="s">
        <v>245</v>
      </c>
      <c r="C52" s="225" t="n">
        <f aca="false">+$C$135+$C$136</f>
        <v>0.0365</v>
      </c>
      <c r="D52" s="243" t="n">
        <f aca="false">+(C52*D51)*-1</f>
        <v>0</v>
      </c>
      <c r="F52" s="245"/>
    </row>
    <row r="53" customFormat="false" ht="12.75" hidden="false" customHeight="false" outlineLevel="0" collapsed="false">
      <c r="A53" s="128" t="s">
        <v>19</v>
      </c>
      <c r="B53" s="128" t="s">
        <v>247</v>
      </c>
      <c r="C53" s="241"/>
      <c r="D53" s="129"/>
      <c r="F53" s="244"/>
    </row>
    <row r="54" customFormat="false" ht="12.75" hidden="false" customHeight="false" outlineLevel="0" collapsed="false">
      <c r="A54" s="242" t="s">
        <v>248</v>
      </c>
      <c r="B54" s="110" t="s">
        <v>245</v>
      </c>
      <c r="C54" s="225" t="n">
        <f aca="false">+$C$135+$C$136</f>
        <v>0.0365</v>
      </c>
      <c r="D54" s="243" t="n">
        <f aca="false">+(C54*D53)*-1</f>
        <v>0</v>
      </c>
      <c r="F54" s="244"/>
    </row>
    <row r="55" customFormat="false" ht="12.75" hidden="false" customHeight="false" outlineLevel="0" collapsed="false">
      <c r="A55" s="246" t="s">
        <v>21</v>
      </c>
      <c r="B55" s="246" t="s">
        <v>249</v>
      </c>
      <c r="C55" s="241"/>
      <c r="D55" s="247"/>
      <c r="F55" s="244"/>
    </row>
    <row r="56" customFormat="false" ht="12.75" hidden="false" customHeight="false" outlineLevel="0" collapsed="false">
      <c r="A56" s="242" t="s">
        <v>250</v>
      </c>
      <c r="B56" s="110" t="s">
        <v>245</v>
      </c>
      <c r="C56" s="225" t="n">
        <f aca="false">+$C$135+$C$136</f>
        <v>0.0365</v>
      </c>
      <c r="D56" s="243" t="n">
        <f aca="false">+(C56*D55)*-1</f>
        <v>0</v>
      </c>
      <c r="F56" s="244"/>
    </row>
    <row r="57" customFormat="false" ht="12.75" hidden="false" customHeight="false" outlineLevel="0" collapsed="false">
      <c r="A57" s="246" t="s">
        <v>204</v>
      </c>
      <c r="B57" s="246" t="s">
        <v>251</v>
      </c>
      <c r="C57" s="241"/>
      <c r="D57" s="248"/>
      <c r="F57" s="249"/>
    </row>
    <row r="58" customFormat="false" ht="12.75" hidden="false" customHeight="false" outlineLevel="0" collapsed="false">
      <c r="A58" s="242" t="s">
        <v>252</v>
      </c>
      <c r="B58" s="110" t="s">
        <v>245</v>
      </c>
      <c r="C58" s="225" t="n">
        <f aca="false">+$C$135+$C$136</f>
        <v>0.0365</v>
      </c>
      <c r="D58" s="243" t="n">
        <f aca="false">+(C58*D57)*-1</f>
        <v>0</v>
      </c>
    </row>
    <row r="59" customFormat="false" ht="12.75" hidden="false" customHeight="false" outlineLevel="0" collapsed="false">
      <c r="A59" s="246" t="s">
        <v>206</v>
      </c>
      <c r="B59" s="250" t="s">
        <v>253</v>
      </c>
      <c r="C59" s="250"/>
      <c r="D59" s="247"/>
    </row>
    <row r="60" customFormat="false" ht="12.75" hidden="false" customHeight="false" outlineLevel="0" collapsed="false">
      <c r="A60" s="242" t="s">
        <v>254</v>
      </c>
      <c r="B60" s="110" t="s">
        <v>245</v>
      </c>
      <c r="C60" s="225" t="n">
        <f aca="false">+$C$135+$C$136</f>
        <v>0.0365</v>
      </c>
      <c r="D60" s="243" t="n">
        <f aca="false">+(C60*D59)*-1</f>
        <v>0</v>
      </c>
    </row>
    <row r="61" customFormat="false" ht="12.75" hidden="false" customHeight="false" outlineLevel="0" collapsed="false">
      <c r="A61" s="205" t="s">
        <v>218</v>
      </c>
      <c r="B61" s="205"/>
      <c r="C61" s="251"/>
      <c r="D61" s="252" t="n">
        <f aca="false">SUM(D49:D60)</f>
        <v>0</v>
      </c>
    </row>
    <row r="63" customFormat="false" ht="12.75" hidden="false" customHeight="false" outlineLevel="0" collapsed="false">
      <c r="A63" s="214" t="s">
        <v>255</v>
      </c>
      <c r="B63" s="214"/>
      <c r="C63" s="214"/>
      <c r="D63" s="214"/>
    </row>
    <row r="64" customFormat="false" ht="12.75" hidden="false" customHeight="false" outlineLevel="0" collapsed="false">
      <c r="A64" s="253" t="n">
        <v>2</v>
      </c>
      <c r="B64" s="254" t="s">
        <v>256</v>
      </c>
      <c r="C64" s="254"/>
      <c r="D64" s="255" t="s">
        <v>199</v>
      </c>
    </row>
    <row r="65" customFormat="false" ht="12.75" hidden="false" customHeight="false" outlineLevel="0" collapsed="false">
      <c r="A65" s="76" t="s">
        <v>221</v>
      </c>
      <c r="B65" s="256" t="s">
        <v>222</v>
      </c>
      <c r="C65" s="256"/>
      <c r="D65" s="129" t="n">
        <f aca="false">+D33</f>
        <v>0</v>
      </c>
    </row>
    <row r="66" customFormat="false" ht="12.75" hidden="false" customHeight="false" outlineLevel="0" collapsed="false">
      <c r="A66" s="76" t="s">
        <v>230</v>
      </c>
      <c r="B66" s="256" t="s">
        <v>231</v>
      </c>
      <c r="C66" s="256"/>
      <c r="D66" s="129" t="n">
        <f aca="false">+D45</f>
        <v>0</v>
      </c>
    </row>
    <row r="67" customFormat="false" ht="12.75" hidden="false" customHeight="false" outlineLevel="0" collapsed="false">
      <c r="A67" s="76" t="s">
        <v>241</v>
      </c>
      <c r="B67" s="256" t="s">
        <v>242</v>
      </c>
      <c r="C67" s="256"/>
      <c r="D67" s="257" t="n">
        <f aca="false">+D61</f>
        <v>0</v>
      </c>
    </row>
    <row r="68" customFormat="false" ht="12.75" hidden="false" customHeight="false" outlineLevel="0" collapsed="false">
      <c r="A68" s="254" t="s">
        <v>218</v>
      </c>
      <c r="B68" s="254"/>
      <c r="C68" s="254"/>
      <c r="D68" s="258" t="n">
        <f aca="false">SUM(D65:D67)</f>
        <v>0</v>
      </c>
    </row>
    <row r="70" customFormat="false" ht="12.75" hidden="false" customHeight="false" outlineLevel="0" collapsed="false">
      <c r="A70" s="214" t="s">
        <v>257</v>
      </c>
      <c r="B70" s="214"/>
      <c r="C70" s="214"/>
      <c r="D70" s="214"/>
    </row>
    <row r="72" customFormat="false" ht="12.75" hidden="false" customHeight="false" outlineLevel="0" collapsed="false">
      <c r="A72" s="25" t="n">
        <v>3</v>
      </c>
      <c r="B72" s="222" t="s">
        <v>258</v>
      </c>
      <c r="C72" s="17" t="s">
        <v>198</v>
      </c>
      <c r="D72" s="17" t="s">
        <v>199</v>
      </c>
    </row>
    <row r="73" customFormat="false" ht="12.75" hidden="false" customHeight="false" outlineLevel="0" collapsed="false">
      <c r="A73" s="10" t="s">
        <v>14</v>
      </c>
      <c r="B73" s="110" t="s">
        <v>259</v>
      </c>
      <c r="C73" s="225" t="e">
        <f aca="false">+D73/$D$23</f>
        <v>#DIV/0!</v>
      </c>
      <c r="D73" s="259" t="n">
        <f aca="false">+'Calculo 12 36 Diu Arm'!C122</f>
        <v>0</v>
      </c>
    </row>
    <row r="74" customFormat="false" ht="12.75" hidden="false" customHeight="false" outlineLevel="0" collapsed="false">
      <c r="A74" s="10" t="s">
        <v>16</v>
      </c>
      <c r="B74" s="128" t="s">
        <v>260</v>
      </c>
      <c r="C74" s="260"/>
      <c r="D74" s="78" t="n">
        <f aca="false">ROUND(+D73*$C$44,2)</f>
        <v>0</v>
      </c>
    </row>
    <row r="75" customFormat="false" ht="25.5" hidden="false" customHeight="false" outlineLevel="0" collapsed="false">
      <c r="A75" s="10" t="s">
        <v>19</v>
      </c>
      <c r="B75" s="261" t="s">
        <v>261</v>
      </c>
      <c r="C75" s="225" t="e">
        <f aca="false">+D75/$D$23</f>
        <v>#DIV/0!</v>
      </c>
      <c r="D75" s="78" t="n">
        <f aca="false">+'Calculo 12 36 Diu Arm'!C136</f>
        <v>0</v>
      </c>
    </row>
    <row r="76" customFormat="false" ht="12.75" hidden="false" customHeight="false" outlineLevel="0" collapsed="false">
      <c r="A76" s="256" t="s">
        <v>21</v>
      </c>
      <c r="B76" s="128" t="s">
        <v>262</v>
      </c>
      <c r="C76" s="225" t="e">
        <f aca="false">+D76/$D$23</f>
        <v>#DIV/0!</v>
      </c>
      <c r="D76" s="78" t="n">
        <f aca="false">+'Calculo 12 36 Diu Arm'!C144</f>
        <v>0</v>
      </c>
    </row>
    <row r="77" customFormat="false" ht="25.5" hidden="false" customHeight="false" outlineLevel="0" collapsed="false">
      <c r="A77" s="256" t="s">
        <v>204</v>
      </c>
      <c r="B77" s="261" t="s">
        <v>263</v>
      </c>
      <c r="C77" s="260"/>
      <c r="D77" s="78" t="n">
        <f aca="false">+D76*C45</f>
        <v>0</v>
      </c>
    </row>
    <row r="78" customFormat="false" ht="25.5" hidden="false" customHeight="false" outlineLevel="0" collapsed="false">
      <c r="A78" s="256" t="s">
        <v>206</v>
      </c>
      <c r="B78" s="261" t="s">
        <v>264</v>
      </c>
      <c r="C78" s="225" t="e">
        <f aca="false">+D78/$D$23</f>
        <v>#DIV/0!</v>
      </c>
      <c r="D78" s="129" t="n">
        <f aca="false">+'Calculo 12 36 Diu Arm'!C158</f>
        <v>0</v>
      </c>
    </row>
    <row r="79" customFormat="false" ht="12.75" hidden="false" customHeight="false" outlineLevel="0" collapsed="false">
      <c r="A79" s="205" t="s">
        <v>218</v>
      </c>
      <c r="B79" s="205"/>
      <c r="C79" s="205"/>
      <c r="D79" s="26" t="n">
        <f aca="false">SUM(D73:D78)</f>
        <v>0</v>
      </c>
    </row>
    <row r="81" customFormat="false" ht="12.75" hidden="false" customHeight="false" outlineLevel="0" collapsed="false">
      <c r="A81" s="214" t="s">
        <v>265</v>
      </c>
      <c r="B81" s="214"/>
      <c r="C81" s="214"/>
      <c r="D81" s="214"/>
    </row>
    <row r="83" customFormat="false" ht="12.75" hidden="false" customHeight="true" outlineLevel="0" collapsed="false">
      <c r="A83" s="262" t="s">
        <v>266</v>
      </c>
      <c r="B83" s="262"/>
      <c r="C83" s="262"/>
      <c r="D83" s="262"/>
    </row>
    <row r="84" customFormat="false" ht="12.75" hidden="false" customHeight="false" outlineLevel="0" collapsed="false">
      <c r="A84" s="25" t="s">
        <v>267</v>
      </c>
      <c r="B84" s="205" t="s">
        <v>268</v>
      </c>
      <c r="C84" s="205"/>
      <c r="D84" s="17" t="s">
        <v>199</v>
      </c>
    </row>
    <row r="85" customFormat="false" ht="12.75" hidden="false" customHeight="false" outlineLevel="0" collapsed="false">
      <c r="A85" s="128" t="s">
        <v>14</v>
      </c>
      <c r="B85" s="263" t="s">
        <v>269</v>
      </c>
      <c r="C85" s="263"/>
      <c r="D85" s="78"/>
    </row>
    <row r="86" customFormat="false" ht="12.75" hidden="false" customHeight="false" outlineLevel="0" collapsed="false">
      <c r="A86" s="110" t="s">
        <v>16</v>
      </c>
      <c r="B86" s="264" t="s">
        <v>268</v>
      </c>
      <c r="C86" s="264"/>
      <c r="D86" s="78" t="n">
        <f aca="false">+'Calculo 12 36 Diu Arm'!C171</f>
        <v>0</v>
      </c>
    </row>
    <row r="87" s="34" customFormat="true" ht="12.75" hidden="false" customHeight="false" outlineLevel="0" collapsed="false">
      <c r="A87" s="110" t="s">
        <v>19</v>
      </c>
      <c r="B87" s="264" t="s">
        <v>270</v>
      </c>
      <c r="C87" s="264"/>
      <c r="D87" s="78" t="n">
        <f aca="false">+'Calculo 12 36 Diu Arm'!C180</f>
        <v>0</v>
      </c>
    </row>
    <row r="88" s="34" customFormat="true" ht="12.75" hidden="false" customHeight="false" outlineLevel="0" collapsed="false">
      <c r="A88" s="110" t="s">
        <v>21</v>
      </c>
      <c r="B88" s="264" t="s">
        <v>271</v>
      </c>
      <c r="C88" s="264"/>
      <c r="D88" s="78" t="n">
        <f aca="false">+'Calculo 12 36 Diu Arm'!C188</f>
        <v>0</v>
      </c>
    </row>
    <row r="89" s="34" customFormat="true" ht="13.5" hidden="false" customHeight="false" outlineLevel="0" collapsed="false">
      <c r="A89" s="110" t="s">
        <v>204</v>
      </c>
      <c r="B89" s="264" t="s">
        <v>272</v>
      </c>
      <c r="C89" s="264"/>
      <c r="D89" s="78"/>
    </row>
    <row r="90" s="34" customFormat="true" ht="12.75" hidden="false" customHeight="false" outlineLevel="0" collapsed="false">
      <c r="A90" s="110" t="s">
        <v>206</v>
      </c>
      <c r="B90" s="264" t="s">
        <v>273</v>
      </c>
      <c r="C90" s="264"/>
      <c r="D90" s="78" t="n">
        <f aca="false">+'Calculo 12 36 Diu Arm'!C196</f>
        <v>0</v>
      </c>
    </row>
    <row r="91" customFormat="false" ht="12.75" hidden="false" customHeight="false" outlineLevel="0" collapsed="false">
      <c r="A91" s="128" t="s">
        <v>208</v>
      </c>
      <c r="B91" s="263" t="s">
        <v>217</v>
      </c>
      <c r="C91" s="263"/>
      <c r="D91" s="78"/>
    </row>
    <row r="92" customFormat="false" ht="12.75" hidden="false" customHeight="false" outlineLevel="0" collapsed="false">
      <c r="A92" s="128" t="s">
        <v>210</v>
      </c>
      <c r="B92" s="263" t="s">
        <v>274</v>
      </c>
      <c r="C92" s="263"/>
      <c r="D92" s="78" t="n">
        <f aca="false">ROUND((D86+D87+D88+D85+D89+D90+D91)*C45,2)</f>
        <v>0</v>
      </c>
    </row>
    <row r="93" customFormat="false" ht="12.75" hidden="false" customHeight="false" outlineLevel="0" collapsed="false">
      <c r="A93" s="205" t="s">
        <v>218</v>
      </c>
      <c r="B93" s="205"/>
      <c r="C93" s="205"/>
      <c r="D93" s="27" t="n">
        <f aca="false">SUM(D85:D92)</f>
        <v>0</v>
      </c>
    </row>
    <row r="94" customFormat="false" ht="12.75" hidden="false" customHeight="false" outlineLevel="0" collapsed="false">
      <c r="D94" s="245"/>
    </row>
    <row r="95" customFormat="false" ht="12.75" hidden="false" customHeight="false" outlineLevel="0" collapsed="false">
      <c r="A95" s="25" t="s">
        <v>275</v>
      </c>
      <c r="B95" s="205" t="s">
        <v>276</v>
      </c>
      <c r="C95" s="205"/>
      <c r="D95" s="17" t="s">
        <v>199</v>
      </c>
    </row>
    <row r="96" s="34" customFormat="true" ht="12.75" hidden="false" customHeight="false" outlineLevel="0" collapsed="false">
      <c r="A96" s="110" t="s">
        <v>14</v>
      </c>
      <c r="B96" s="256" t="s">
        <v>277</v>
      </c>
      <c r="C96" s="256"/>
      <c r="D96" s="78" t="n">
        <f aca="false">+'Calculo 12 36 Diu Arm'!C220</f>
        <v>0</v>
      </c>
    </row>
    <row r="97" s="34" customFormat="true" ht="25.5" hidden="false" customHeight="true" outlineLevel="0" collapsed="false">
      <c r="A97" s="110" t="s">
        <v>16</v>
      </c>
      <c r="B97" s="265" t="s">
        <v>278</v>
      </c>
      <c r="C97" s="265"/>
      <c r="D97" s="78" t="n">
        <f aca="false">ROUND(D96*C45,2)</f>
        <v>0</v>
      </c>
    </row>
    <row r="98" s="34" customFormat="true" ht="29.25" hidden="false" customHeight="true" outlineLevel="0" collapsed="false">
      <c r="A98" s="110" t="s">
        <v>19</v>
      </c>
      <c r="B98" s="265" t="s">
        <v>279</v>
      </c>
      <c r="C98" s="265"/>
      <c r="D98" s="78" t="n">
        <f aca="false">+'Calculo 12 36 Diu Arm'!C230</f>
        <v>0</v>
      </c>
    </row>
    <row r="99" customFormat="false" ht="12.75" hidden="false" customHeight="false" outlineLevel="0" collapsed="false">
      <c r="A99" s="128" t="s">
        <v>21</v>
      </c>
      <c r="B99" s="263" t="s">
        <v>217</v>
      </c>
      <c r="C99" s="263"/>
      <c r="D99" s="78"/>
    </row>
    <row r="100" customFormat="false" ht="12.75" hidden="false" customHeight="false" outlineLevel="0" collapsed="false">
      <c r="A100" s="205" t="s">
        <v>218</v>
      </c>
      <c r="B100" s="205"/>
      <c r="C100" s="205"/>
      <c r="D100" s="27" t="n">
        <f aca="false">SUM(D96:D99)</f>
        <v>0</v>
      </c>
    </row>
    <row r="101" customFormat="false" ht="12.75" hidden="false" customHeight="false" outlineLevel="0" collapsed="false">
      <c r="D101" s="245"/>
    </row>
    <row r="102" customFormat="false" ht="12.75" hidden="false" customHeight="false" outlineLevel="0" collapsed="false">
      <c r="A102" s="25" t="s">
        <v>280</v>
      </c>
      <c r="B102" s="205" t="s">
        <v>281</v>
      </c>
      <c r="C102" s="205"/>
      <c r="D102" s="17" t="s">
        <v>199</v>
      </c>
    </row>
    <row r="103" s="267" customFormat="true" ht="30" hidden="false" customHeight="true" outlineLevel="0" collapsed="false">
      <c r="A103" s="256" t="s">
        <v>14</v>
      </c>
      <c r="B103" s="265" t="s">
        <v>282</v>
      </c>
      <c r="C103" s="265"/>
      <c r="D103" s="266" t="n">
        <f aca="false">+'Calculo 12 36 Diu Arm'!C209</f>
        <v>0</v>
      </c>
    </row>
    <row r="104" customFormat="false" ht="12.75" hidden="false" customHeight="false" outlineLevel="0" collapsed="false">
      <c r="A104" s="205" t="s">
        <v>218</v>
      </c>
      <c r="B104" s="205"/>
      <c r="C104" s="205"/>
      <c r="D104" s="27" t="n">
        <f aca="false">SUM(D103:D103)</f>
        <v>0</v>
      </c>
    </row>
    <row r="106" customFormat="false" ht="12.75" hidden="false" customHeight="false" outlineLevel="0" collapsed="false">
      <c r="A106" s="268" t="s">
        <v>283</v>
      </c>
      <c r="B106" s="268"/>
      <c r="C106" s="268"/>
      <c r="D106" s="268"/>
    </row>
    <row r="107" customFormat="false" ht="12.75" hidden="false" customHeight="false" outlineLevel="0" collapsed="false">
      <c r="A107" s="128" t="s">
        <v>267</v>
      </c>
      <c r="B107" s="263" t="s">
        <v>268</v>
      </c>
      <c r="C107" s="263"/>
      <c r="D107" s="129" t="n">
        <f aca="false">+D93</f>
        <v>0</v>
      </c>
    </row>
    <row r="108" customFormat="false" ht="12.75" hidden="false" customHeight="false" outlineLevel="0" collapsed="false">
      <c r="A108" s="128" t="s">
        <v>275</v>
      </c>
      <c r="B108" s="263" t="s">
        <v>276</v>
      </c>
      <c r="C108" s="263"/>
      <c r="D108" s="129" t="n">
        <f aca="false">+D100</f>
        <v>0</v>
      </c>
    </row>
    <row r="109" customFormat="false" ht="12.75" hidden="false" customHeight="false" outlineLevel="0" collapsed="false">
      <c r="A109" s="269"/>
      <c r="B109" s="270" t="s">
        <v>284</v>
      </c>
      <c r="C109" s="270"/>
      <c r="D109" s="271" t="n">
        <f aca="false">+D108+D107</f>
        <v>0</v>
      </c>
    </row>
    <row r="110" customFormat="false" ht="12.75" hidden="false" customHeight="false" outlineLevel="0" collapsed="false">
      <c r="A110" s="128" t="s">
        <v>280</v>
      </c>
      <c r="B110" s="263" t="s">
        <v>281</v>
      </c>
      <c r="C110" s="263"/>
      <c r="D110" s="129" t="n">
        <f aca="false">+D104</f>
        <v>0</v>
      </c>
    </row>
    <row r="111" customFormat="false" ht="12.75" hidden="false" customHeight="false" outlineLevel="0" collapsed="false">
      <c r="A111" s="268" t="s">
        <v>218</v>
      </c>
      <c r="B111" s="268"/>
      <c r="C111" s="268"/>
      <c r="D111" s="272" t="n">
        <f aca="false">+D110+D109</f>
        <v>0</v>
      </c>
    </row>
    <row r="113" customFormat="false" ht="12.75" hidden="false" customHeight="false" outlineLevel="0" collapsed="false">
      <c r="A113" s="214" t="s">
        <v>285</v>
      </c>
      <c r="B113" s="214"/>
      <c r="C113" s="214"/>
      <c r="D113" s="214"/>
    </row>
    <row r="115" customFormat="false" ht="12.75" hidden="false" customHeight="false" outlineLevel="0" collapsed="false">
      <c r="A115" s="25" t="n">
        <v>5</v>
      </c>
      <c r="B115" s="205" t="s">
        <v>286</v>
      </c>
      <c r="C115" s="205"/>
      <c r="D115" s="17" t="s">
        <v>199</v>
      </c>
    </row>
    <row r="116" customFormat="false" ht="12.75" hidden="false" customHeight="false" outlineLevel="0" collapsed="false">
      <c r="A116" s="128" t="s">
        <v>14</v>
      </c>
      <c r="B116" s="10" t="s">
        <v>287</v>
      </c>
      <c r="C116" s="10"/>
      <c r="D116" s="78" t="n">
        <f aca="false">+Uniforme!G12</f>
        <v>0</v>
      </c>
    </row>
    <row r="117" customFormat="false" ht="12.75" hidden="false" customHeight="false" outlineLevel="0" collapsed="false">
      <c r="A117" s="128" t="s">
        <v>244</v>
      </c>
      <c r="B117" s="110" t="s">
        <v>245</v>
      </c>
      <c r="C117" s="225" t="n">
        <f aca="false">+$C$135+$C$136</f>
        <v>0.0365</v>
      </c>
      <c r="D117" s="243" t="n">
        <f aca="false">+(C117*D116)*-1</f>
        <v>0</v>
      </c>
    </row>
    <row r="118" customFormat="false" ht="12.75" hidden="false" customHeight="false" outlineLevel="0" collapsed="false">
      <c r="A118" s="128" t="s">
        <v>16</v>
      </c>
      <c r="B118" s="10" t="s">
        <v>288</v>
      </c>
      <c r="C118" s="10"/>
      <c r="D118" s="78"/>
    </row>
    <row r="119" customFormat="false" ht="12.75" hidden="false" customHeight="false" outlineLevel="0" collapsed="false">
      <c r="A119" s="128" t="s">
        <v>225</v>
      </c>
      <c r="B119" s="110" t="s">
        <v>245</v>
      </c>
      <c r="C119" s="225" t="n">
        <f aca="false">+$C$135+$C$136</f>
        <v>0.0365</v>
      </c>
      <c r="D119" s="243" t="n">
        <f aca="false">+(C119*D118)*-1</f>
        <v>0</v>
      </c>
    </row>
    <row r="120" customFormat="false" ht="12.75" hidden="false" customHeight="false" outlineLevel="0" collapsed="false">
      <c r="A120" s="128" t="s">
        <v>19</v>
      </c>
      <c r="B120" s="10" t="s">
        <v>289</v>
      </c>
      <c r="C120" s="10"/>
      <c r="D120" s="78" t="n">
        <f aca="false">+Uniforme!F27</f>
        <v>0</v>
      </c>
    </row>
    <row r="121" customFormat="false" ht="12.75" hidden="false" customHeight="false" outlineLevel="0" collapsed="false">
      <c r="A121" s="128" t="s">
        <v>248</v>
      </c>
      <c r="B121" s="110" t="s">
        <v>245</v>
      </c>
      <c r="C121" s="225" t="n">
        <f aca="false">+$C$135+$C$136</f>
        <v>0.0365</v>
      </c>
      <c r="D121" s="243" t="n">
        <f aca="false">+(C121*D120)*-1</f>
        <v>0</v>
      </c>
    </row>
    <row r="122" customFormat="false" ht="12.75" hidden="false" customHeight="false" outlineLevel="0" collapsed="false">
      <c r="A122" s="128" t="s">
        <v>21</v>
      </c>
      <c r="B122" s="10" t="s">
        <v>217</v>
      </c>
      <c r="C122" s="10"/>
      <c r="D122" s="78"/>
    </row>
    <row r="123" customFormat="false" ht="12.75" hidden="false" customHeight="false" outlineLevel="0" collapsed="false">
      <c r="A123" s="128" t="s">
        <v>250</v>
      </c>
      <c r="B123" s="110" t="s">
        <v>245</v>
      </c>
      <c r="C123" s="225" t="n">
        <f aca="false">+$C$135+$C$136</f>
        <v>0.0365</v>
      </c>
      <c r="D123" s="243" t="n">
        <f aca="false">+(C123*D122)*-1</f>
        <v>0</v>
      </c>
    </row>
    <row r="124" customFormat="false" ht="12.75" hidden="false" customHeight="false" outlineLevel="0" collapsed="false">
      <c r="A124" s="205" t="s">
        <v>218</v>
      </c>
      <c r="B124" s="205"/>
      <c r="C124" s="205"/>
      <c r="D124" s="27" t="n">
        <f aca="false">SUM(D116:D122)</f>
        <v>0</v>
      </c>
    </row>
    <row r="126" customFormat="false" ht="12.75" hidden="false" customHeight="false" outlineLevel="0" collapsed="false">
      <c r="A126" s="214" t="s">
        <v>290</v>
      </c>
      <c r="B126" s="214"/>
      <c r="C126" s="214"/>
      <c r="D126" s="214"/>
    </row>
    <row r="128" customFormat="false" ht="12.75" hidden="false" customHeight="false" outlineLevel="0" collapsed="false">
      <c r="A128" s="25" t="n">
        <v>6</v>
      </c>
      <c r="B128" s="222" t="s">
        <v>291</v>
      </c>
      <c r="C128" s="273" t="s">
        <v>198</v>
      </c>
      <c r="D128" s="17" t="s">
        <v>199</v>
      </c>
    </row>
    <row r="129" customFormat="false" ht="12.75" hidden="false" customHeight="false" outlineLevel="0" collapsed="false">
      <c r="A129" s="246" t="s">
        <v>14</v>
      </c>
      <c r="B129" s="246" t="s">
        <v>292</v>
      </c>
      <c r="C129" s="274" t="n">
        <v>0.03</v>
      </c>
      <c r="D129" s="247" t="n">
        <f aca="false">($D$124+$D$111+$D$79+$D$68+$D$23)*C129</f>
        <v>0</v>
      </c>
    </row>
    <row r="130" customFormat="false" ht="12.75" hidden="false" customHeight="false" outlineLevel="0" collapsed="false">
      <c r="A130" s="246" t="s">
        <v>16</v>
      </c>
      <c r="B130" s="246" t="s">
        <v>293</v>
      </c>
      <c r="C130" s="274" t="n">
        <v>0.03</v>
      </c>
      <c r="D130" s="247" t="n">
        <f aca="false">($D$124+$D$111+$D$79+$D$68+$D$23+D129)*C130</f>
        <v>0</v>
      </c>
    </row>
    <row r="131" s="277" customFormat="true" ht="24" hidden="false" customHeight="true" outlineLevel="0" collapsed="false">
      <c r="A131" s="275" t="s">
        <v>294</v>
      </c>
      <c r="B131" s="275"/>
      <c r="C131" s="275"/>
      <c r="D131" s="276" t="n">
        <f aca="false">++D130+D129+D124+D111+D79+D68+D23</f>
        <v>0</v>
      </c>
    </row>
    <row r="132" s="277" customFormat="true" ht="24" hidden="false" customHeight="true" outlineLevel="0" collapsed="false">
      <c r="A132" s="278" t="s">
        <v>295</v>
      </c>
      <c r="B132" s="278"/>
      <c r="C132" s="278"/>
      <c r="D132" s="276" t="n">
        <f aca="false">ROUND(D131/(1-(C135+C136+C138+C140+C141)),2)</f>
        <v>0</v>
      </c>
    </row>
    <row r="133" customFormat="false" ht="12.75" hidden="false" customHeight="false" outlineLevel="0" collapsed="false">
      <c r="A133" s="128" t="s">
        <v>19</v>
      </c>
      <c r="B133" s="128" t="s">
        <v>296</v>
      </c>
      <c r="C133" s="225"/>
      <c r="D133" s="128"/>
    </row>
    <row r="134" customFormat="false" ht="12.75" hidden="false" customHeight="false" outlineLevel="0" collapsed="false">
      <c r="A134" s="128" t="s">
        <v>248</v>
      </c>
      <c r="B134" s="128" t="s">
        <v>297</v>
      </c>
      <c r="C134" s="225"/>
      <c r="D134" s="128"/>
    </row>
    <row r="135" customFormat="false" ht="12.75" hidden="false" customHeight="false" outlineLevel="0" collapsed="false">
      <c r="A135" s="246" t="s">
        <v>298</v>
      </c>
      <c r="B135" s="246" t="s">
        <v>299</v>
      </c>
      <c r="C135" s="274" t="n">
        <v>0.0065</v>
      </c>
      <c r="D135" s="247" t="n">
        <f aca="false">ROUND(C135*$D$132,2)</f>
        <v>0</v>
      </c>
    </row>
    <row r="136" customFormat="false" ht="12.75" hidden="false" customHeight="false" outlineLevel="0" collapsed="false">
      <c r="A136" s="246" t="s">
        <v>300</v>
      </c>
      <c r="B136" s="246" t="s">
        <v>301</v>
      </c>
      <c r="C136" s="274" t="n">
        <v>0.03</v>
      </c>
      <c r="D136" s="247" t="n">
        <f aca="false">ROUND(C136*$D$132,2)</f>
        <v>0</v>
      </c>
    </row>
    <row r="137" customFormat="false" ht="12.75" hidden="false" customHeight="false" outlineLevel="0" collapsed="false">
      <c r="A137" s="128" t="s">
        <v>302</v>
      </c>
      <c r="B137" s="128" t="s">
        <v>303</v>
      </c>
      <c r="C137" s="225"/>
      <c r="D137" s="129"/>
    </row>
    <row r="138" customFormat="false" ht="12.75" hidden="false" customHeight="false" outlineLevel="0" collapsed="false">
      <c r="A138" s="128" t="s">
        <v>304</v>
      </c>
      <c r="B138" s="128" t="s">
        <v>305</v>
      </c>
      <c r="C138" s="225"/>
      <c r="D138" s="128"/>
    </row>
    <row r="139" customFormat="false" ht="12.75" hidden="false" customHeight="false" outlineLevel="0" collapsed="false">
      <c r="A139" s="128" t="s">
        <v>306</v>
      </c>
      <c r="B139" s="128" t="s">
        <v>307</v>
      </c>
      <c r="C139" s="225"/>
      <c r="D139" s="128"/>
    </row>
    <row r="140" customFormat="false" ht="12.75" hidden="false" customHeight="false" outlineLevel="0" collapsed="false">
      <c r="A140" s="246" t="s">
        <v>308</v>
      </c>
      <c r="B140" s="246" t="s">
        <v>309</v>
      </c>
      <c r="C140" s="274" t="n">
        <v>0.05</v>
      </c>
      <c r="D140" s="247" t="n">
        <f aca="false">ROUND(C140*$D$132,2)</f>
        <v>0</v>
      </c>
    </row>
    <row r="141" customFormat="false" ht="12.75" hidden="false" customHeight="false" outlineLevel="0" collapsed="false">
      <c r="A141" s="128" t="s">
        <v>310</v>
      </c>
      <c r="B141" s="128" t="s">
        <v>311</v>
      </c>
      <c r="C141" s="225"/>
      <c r="D141" s="128"/>
    </row>
    <row r="142" customFormat="false" ht="12.75" hidden="false" customHeight="false" outlineLevel="0" collapsed="false">
      <c r="A142" s="235" t="s">
        <v>218</v>
      </c>
      <c r="B142" s="235"/>
      <c r="C142" s="279" t="n">
        <f aca="false">+C141+C140+C138+C136+C135+C130+C129</f>
        <v>0.1465</v>
      </c>
      <c r="D142" s="27" t="n">
        <f aca="false">+D140+D138+D136+D135+D130+D129</f>
        <v>0</v>
      </c>
    </row>
    <row r="144" customFormat="false" ht="12.75" hidden="false" customHeight="false" outlineLevel="0" collapsed="false">
      <c r="A144" s="280" t="s">
        <v>312</v>
      </c>
      <c r="B144" s="280"/>
      <c r="C144" s="280"/>
      <c r="D144" s="280"/>
    </row>
    <row r="145" customFormat="false" ht="12.75" hidden="false" customHeight="false" outlineLevel="0" collapsed="false">
      <c r="A145" s="128" t="s">
        <v>14</v>
      </c>
      <c r="B145" s="263" t="s">
        <v>313</v>
      </c>
      <c r="C145" s="263"/>
      <c r="D145" s="78" t="n">
        <f aca="false">+D23</f>
        <v>0</v>
      </c>
    </row>
    <row r="146" customFormat="false" ht="12.75" hidden="false" customHeight="false" outlineLevel="0" collapsed="false">
      <c r="A146" s="128" t="s">
        <v>314</v>
      </c>
      <c r="B146" s="263" t="s">
        <v>315</v>
      </c>
      <c r="C146" s="263"/>
      <c r="D146" s="78" t="n">
        <f aca="false">+D68</f>
        <v>0</v>
      </c>
    </row>
    <row r="147" customFormat="false" ht="12.75" hidden="false" customHeight="false" outlineLevel="0" collapsed="false">
      <c r="A147" s="128" t="s">
        <v>19</v>
      </c>
      <c r="B147" s="263" t="s">
        <v>316</v>
      </c>
      <c r="C147" s="263"/>
      <c r="D147" s="78" t="n">
        <f aca="false">+D79</f>
        <v>0</v>
      </c>
    </row>
    <row r="148" customFormat="false" ht="12.75" hidden="false" customHeight="false" outlineLevel="0" collapsed="false">
      <c r="A148" s="128" t="s">
        <v>21</v>
      </c>
      <c r="B148" s="263" t="s">
        <v>317</v>
      </c>
      <c r="C148" s="263"/>
      <c r="D148" s="78" t="n">
        <f aca="false">+D111</f>
        <v>0</v>
      </c>
    </row>
    <row r="149" customFormat="false" ht="12.75" hidden="false" customHeight="false" outlineLevel="0" collapsed="false">
      <c r="A149" s="128" t="s">
        <v>204</v>
      </c>
      <c r="B149" s="263" t="s">
        <v>318</v>
      </c>
      <c r="C149" s="263"/>
      <c r="D149" s="78" t="n">
        <f aca="false">+D124</f>
        <v>0</v>
      </c>
    </row>
    <row r="150" customFormat="false" ht="12.75" hidden="false" customHeight="false" outlineLevel="0" collapsed="false">
      <c r="B150" s="281" t="s">
        <v>319</v>
      </c>
      <c r="C150" s="281"/>
      <c r="D150" s="282" t="n">
        <f aca="false">SUM(D145:D149)</f>
        <v>0</v>
      </c>
    </row>
    <row r="151" customFormat="false" ht="12.75" hidden="false" customHeight="false" outlineLevel="0" collapsed="false">
      <c r="A151" s="128" t="s">
        <v>206</v>
      </c>
      <c r="B151" s="263" t="s">
        <v>320</v>
      </c>
      <c r="C151" s="263"/>
      <c r="D151" s="78" t="n">
        <f aca="false">+D142</f>
        <v>0</v>
      </c>
    </row>
    <row r="153" customFormat="false" ht="12.75" hidden="false" customHeight="false" outlineLevel="0" collapsed="false">
      <c r="A153" s="283" t="s">
        <v>321</v>
      </c>
      <c r="B153" s="283"/>
      <c r="C153" s="283"/>
      <c r="D153" s="284" t="n">
        <f aca="false">ROUND(+D151+D150,2)</f>
        <v>0</v>
      </c>
    </row>
    <row r="155" customFormat="false" ht="12.75" hidden="false" customHeight="false" outlineLevel="0" collapsed="false">
      <c r="A155" s="285" t="s">
        <v>322</v>
      </c>
      <c r="B155" s="285"/>
      <c r="C155" s="285"/>
      <c r="D155" s="285"/>
    </row>
    <row r="157" customFormat="false" ht="12.75" hidden="false" customHeight="false" outlineLevel="0" collapsed="false">
      <c r="A157" s="128" t="s">
        <v>14</v>
      </c>
      <c r="B157" s="128" t="s">
        <v>223</v>
      </c>
      <c r="C157" s="286" t="e">
        <f aca="false">+C29</f>
        <v>#DIV/0!</v>
      </c>
      <c r="D157" s="78" t="n">
        <f aca="false">+D29</f>
        <v>0</v>
      </c>
    </row>
    <row r="158" customFormat="false" ht="12.75" hidden="false" customHeight="false" outlineLevel="0" collapsed="false">
      <c r="A158" s="128" t="s">
        <v>16</v>
      </c>
      <c r="B158" s="128" t="s">
        <v>226</v>
      </c>
      <c r="C158" s="286" t="e">
        <f aca="false">+C31</f>
        <v>#DIV/0!</v>
      </c>
      <c r="D158" s="78" t="n">
        <f aca="false">+D31</f>
        <v>0</v>
      </c>
    </row>
    <row r="159" customFormat="false" ht="12.75" hidden="false" customHeight="false" outlineLevel="0" collapsed="false">
      <c r="A159" s="128" t="s">
        <v>19</v>
      </c>
      <c r="B159" s="128" t="s">
        <v>228</v>
      </c>
      <c r="C159" s="286" t="e">
        <f aca="false">+C32</f>
        <v>#DIV/0!</v>
      </c>
      <c r="D159" s="78" t="n">
        <f aca="false">+D32</f>
        <v>0</v>
      </c>
    </row>
    <row r="160" customFormat="false" ht="25.5" hidden="false" customHeight="false" outlineLevel="0" collapsed="false">
      <c r="A160" s="128" t="s">
        <v>21</v>
      </c>
      <c r="B160" s="261" t="s">
        <v>261</v>
      </c>
      <c r="C160" s="225" t="e">
        <f aca="false">+C75</f>
        <v>#DIV/0!</v>
      </c>
      <c r="D160" s="78" t="n">
        <f aca="false">+D75</f>
        <v>0</v>
      </c>
    </row>
    <row r="161" customFormat="false" ht="25.5" hidden="false" customHeight="false" outlineLevel="0" collapsed="false">
      <c r="A161" s="128" t="s">
        <v>204</v>
      </c>
      <c r="B161" s="261" t="s">
        <v>264</v>
      </c>
      <c r="C161" s="286" t="e">
        <f aca="false">+C78</f>
        <v>#DIV/0!</v>
      </c>
      <c r="D161" s="129" t="n">
        <f aca="false">+D78</f>
        <v>0</v>
      </c>
    </row>
    <row r="162" customFormat="false" ht="12.75" hidden="false" customHeight="false" outlineLevel="0" collapsed="false">
      <c r="A162" s="128" t="s">
        <v>254</v>
      </c>
      <c r="B162" s="110" t="s">
        <v>323</v>
      </c>
      <c r="C162" s="287" t="e">
        <f aca="false">+(D162+D163+D164)/D23</f>
        <v>#DIV/0!</v>
      </c>
      <c r="D162" s="78" t="n">
        <f aca="false">ROUND(D29*(SUM($C$37:$C$44)),2)</f>
        <v>0</v>
      </c>
    </row>
    <row r="163" customFormat="false" ht="12.75" hidden="false" customHeight="false" outlineLevel="0" collapsed="false">
      <c r="A163" s="128" t="s">
        <v>324</v>
      </c>
      <c r="B163" s="110" t="s">
        <v>325</v>
      </c>
      <c r="C163" s="287"/>
      <c r="D163" s="78" t="n">
        <f aca="false">ROUND(D31*(SUM($C$37:$C$44)),2)</f>
        <v>0</v>
      </c>
    </row>
    <row r="164" customFormat="false" ht="12.75" hidden="false" customHeight="false" outlineLevel="0" collapsed="false">
      <c r="A164" s="128" t="s">
        <v>326</v>
      </c>
      <c r="B164" s="110" t="s">
        <v>327</v>
      </c>
      <c r="C164" s="287"/>
      <c r="D164" s="78" t="n">
        <f aca="false">ROUND(D32*(SUM($C$37:$C$44)),2)</f>
        <v>0</v>
      </c>
    </row>
    <row r="165" customFormat="false" ht="12.75" hidden="false" customHeight="false" outlineLevel="0" collapsed="false">
      <c r="A165" s="254" t="s">
        <v>218</v>
      </c>
      <c r="B165" s="254"/>
      <c r="C165" s="254"/>
      <c r="D165" s="288" t="n">
        <f aca="false">SUM(D157:D164)</f>
        <v>0</v>
      </c>
    </row>
    <row r="166" customFormat="false" ht="12.75" hidden="false" customHeight="false" outlineLevel="0" collapsed="false">
      <c r="B166" s="289"/>
      <c r="C166" s="289"/>
      <c r="D166" s="289"/>
    </row>
    <row r="167" s="127" customFormat="true" ht="40.5" hidden="false" customHeight="true" outlineLevel="0" collapsed="false">
      <c r="A167" s="290" t="s">
        <v>328</v>
      </c>
      <c r="B167" s="290"/>
      <c r="C167" s="290"/>
      <c r="D167" s="290"/>
      <c r="E167" s="291"/>
    </row>
    <row r="168" customFormat="false" ht="12.75" hidden="false" customHeight="false" outlineLevel="0" collapsed="false">
      <c r="A168" s="292"/>
      <c r="B168" s="292"/>
      <c r="C168" s="292"/>
      <c r="D168" s="292"/>
      <c r="E168" s="292"/>
    </row>
    <row r="169" customFormat="false" ht="39.75" hidden="false" customHeight="true" outlineLevel="0" collapsed="false">
      <c r="A169" s="293" t="s">
        <v>329</v>
      </c>
      <c r="B169" s="293"/>
      <c r="C169" s="293"/>
      <c r="D169" s="293"/>
      <c r="E169" s="292"/>
    </row>
    <row r="170" customFormat="false" ht="12.75" hidden="false" customHeight="false" outlineLevel="0" collapsed="false">
      <c r="A170" s="292"/>
      <c r="B170" s="292"/>
      <c r="C170" s="292"/>
      <c r="D170" s="292"/>
      <c r="E170" s="292"/>
    </row>
    <row r="171" customFormat="false" ht="12.75" hidden="false" customHeight="false" outlineLevel="0" collapsed="false">
      <c r="A171" s="292" t="s">
        <v>330</v>
      </c>
      <c r="B171" s="292"/>
      <c r="C171" s="292"/>
      <c r="D171" s="292"/>
      <c r="E171" s="292"/>
    </row>
  </sheetData>
  <mergeCells count="83"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53:C153"/>
    <mergeCell ref="A155:D155"/>
    <mergeCell ref="C162:C164"/>
    <mergeCell ref="A165:C165"/>
    <mergeCell ref="A167:D167"/>
    <mergeCell ref="A169:D169"/>
  </mergeCells>
  <printOptions headings="false" gridLines="false" gridLinesSet="true" horizontalCentered="false" verticalCentered="false"/>
  <pageMargins left="1.15972222222222" right="0.118055555555556" top="0.240277777777778" bottom="0.45" header="0.511805555555555" footer="0.229861111111111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2" manualBreakCount="2">
    <brk id="62" man="true" max="16383" min="0"/>
    <brk id="112" man="true" max="16383" min="0"/>
  </rowBreaks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tabColor rgb="FF604A7B"/>
    <pageSetUpPr fitToPage="false"/>
  </sheetPr>
  <dimension ref="A1:D230"/>
  <sheetViews>
    <sheetView showFormulas="false" showGridLines="true" showRowColHeaders="true" showZeros="true" rightToLeft="false" tabSelected="false" showOutlineSymbols="true" defaultGridColor="true" view="normal" topLeftCell="A41" colorId="64" zoomScale="100" zoomScaleNormal="100" zoomScalePageLayoutView="100" workbookViewId="0">
      <selection pane="topLeft" activeCell="B94" activeCellId="0" sqref="B94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2" min="2" style="0" width="12.25"/>
    <col collapsed="false" customWidth="true" hidden="false" outlineLevel="0" max="3" min="3" style="0" width="11.88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294" t="s">
        <v>331</v>
      </c>
      <c r="B1" s="294"/>
      <c r="C1" s="294"/>
    </row>
    <row r="3" customFormat="false" ht="12.75" hidden="false" customHeight="false" outlineLevel="0" collapsed="false">
      <c r="A3" s="128" t="s">
        <v>332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(365.25/12/2)/(7/7)</f>
        <v>15.21875</v>
      </c>
    </row>
    <row r="6" customFormat="false" ht="12.75" hidden="false" customHeight="false" outlineLevel="0" collapsed="false">
      <c r="A6" s="110" t="s">
        <v>200</v>
      </c>
      <c r="B6" s="129" t="n">
        <f aca="false">+'Vigilante 12X36 Diurno Arm'!D12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12X36 Diurno Arm'!D23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12X36 Diurno Arm'!D12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12X36 Diurno Arm'!D13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12X36 Diurno Arm'!D14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12X36 Diurno Arm'!D15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12X36 Diurno Arm'!D16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12X36 Diurno Arm'!D20</f>
        <v>0</v>
      </c>
    </row>
    <row r="16" customFormat="false" ht="12.75" hidden="false" customHeight="false" outlineLevel="0" collapsed="false">
      <c r="A16" s="230" t="s">
        <v>337</v>
      </c>
      <c r="B16" s="297"/>
      <c r="C16" s="298" t="n">
        <f aca="false">SUM(C10:C15)</f>
        <v>0</v>
      </c>
    </row>
    <row r="17" customFormat="false" ht="12.75" hidden="false" customHeight="false" outlineLevel="0" collapsed="false">
      <c r="A17" s="128" t="s">
        <v>332</v>
      </c>
      <c r="B17" s="299" t="n">
        <f aca="false">+B3</f>
        <v>220</v>
      </c>
      <c r="C17" s="241"/>
    </row>
    <row r="18" customFormat="false" ht="12.75" hidden="false" customHeight="false" outlineLevel="0" collapsed="false">
      <c r="A18" s="230" t="s">
        <v>338</v>
      </c>
      <c r="B18" s="297"/>
      <c r="C18" s="232" t="n">
        <f aca="false">+C16/B17</f>
        <v>0</v>
      </c>
    </row>
    <row r="19" customFormat="false" ht="12.75" hidden="false" customHeight="false" outlineLevel="0" collapsed="false">
      <c r="A19" s="128" t="s">
        <v>339</v>
      </c>
      <c r="B19" s="128" t="n">
        <v>16</v>
      </c>
      <c r="C19" s="241"/>
    </row>
    <row r="20" customFormat="false" ht="12.75" hidden="false" customHeight="false" outlineLevel="0" collapsed="false">
      <c r="A20" s="128" t="s">
        <v>340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341</v>
      </c>
      <c r="B21" s="128" t="n">
        <f aca="false">+B20*B19</f>
        <v>192</v>
      </c>
      <c r="C21" s="78" t="n">
        <f aca="false">+B21*C18</f>
        <v>0</v>
      </c>
    </row>
    <row r="22" customFormat="false" ht="12.75" hidden="false" customHeight="false" outlineLevel="0" collapsed="false">
      <c r="A22" s="128" t="s">
        <v>342</v>
      </c>
      <c r="B22" s="225" t="n">
        <v>0.5</v>
      </c>
      <c r="C22" s="78" t="n">
        <f aca="false">+B22*C21</f>
        <v>0</v>
      </c>
    </row>
    <row r="23" customFormat="false" ht="12.75" hidden="false" customHeight="false" outlineLevel="0" collapsed="false">
      <c r="A23" s="128" t="s">
        <v>343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344</v>
      </c>
      <c r="B24" s="128" t="n">
        <v>12</v>
      </c>
      <c r="C24" s="300"/>
    </row>
    <row r="25" customFormat="false" ht="12.75" hidden="false" customHeight="false" outlineLevel="0" collapsed="false">
      <c r="A25" s="268" t="s">
        <v>345</v>
      </c>
      <c r="B25" s="268"/>
      <c r="C25" s="288" t="n">
        <f aca="false">+C23/B24</f>
        <v>0</v>
      </c>
    </row>
    <row r="26" customFormat="false" ht="12.75" hidden="false" customHeight="false" outlineLevel="0" collapsed="false">
      <c r="C26" s="245"/>
    </row>
    <row r="27" customFormat="false" ht="12.75" hidden="false" customHeight="false" outlineLevel="0" collapsed="false">
      <c r="A27" s="255" t="s">
        <v>346</v>
      </c>
      <c r="B27" s="255"/>
      <c r="C27" s="255"/>
    </row>
    <row r="28" customFormat="false" ht="12.75" hidden="false" customHeight="false" outlineLevel="0" collapsed="false">
      <c r="A28" s="128" t="s">
        <v>338</v>
      </c>
      <c r="B28" s="260"/>
      <c r="C28" s="296" t="n">
        <f aca="false">+C18</f>
        <v>0</v>
      </c>
    </row>
    <row r="29" customFormat="false" ht="12.75" hidden="false" customHeight="false" outlineLevel="0" collapsed="false">
      <c r="A29" s="128" t="s">
        <v>341</v>
      </c>
      <c r="B29" s="128" t="n">
        <v>192</v>
      </c>
      <c r="C29" s="241"/>
    </row>
    <row r="30" customFormat="false" ht="12.75" hidden="false" customHeight="false" outlineLevel="0" collapsed="false">
      <c r="A30" s="128" t="s">
        <v>347</v>
      </c>
      <c r="B30" s="128" t="n">
        <f aca="false">+$B$4</f>
        <v>365.25</v>
      </c>
      <c r="C30" s="241"/>
    </row>
    <row r="31" customFormat="false" ht="12.75" hidden="false" customHeight="false" outlineLevel="0" collapsed="false">
      <c r="A31" s="128" t="s">
        <v>339</v>
      </c>
      <c r="B31" s="128" t="n">
        <v>16</v>
      </c>
      <c r="C31" s="241"/>
    </row>
    <row r="32" customFormat="false" ht="12.75" hidden="false" customHeight="false" outlineLevel="0" collapsed="false">
      <c r="A32" s="128" t="s">
        <v>342</v>
      </c>
      <c r="B32" s="225" t="n">
        <v>0.5</v>
      </c>
      <c r="C32" s="241"/>
    </row>
    <row r="33" customFormat="false" ht="12.75" hidden="false" customHeight="false" outlineLevel="0" collapsed="false">
      <c r="A33" s="128" t="s">
        <v>348</v>
      </c>
      <c r="B33" s="301" t="n">
        <f aca="false">ROUND(((B30/7)*6)-B31,2)</f>
        <v>297.07</v>
      </c>
      <c r="C33" s="241"/>
    </row>
    <row r="34" customFormat="false" ht="12.75" hidden="false" customHeight="false" outlineLevel="0" collapsed="false">
      <c r="A34" s="128" t="s">
        <v>349</v>
      </c>
      <c r="B34" s="110" t="n">
        <v>12</v>
      </c>
      <c r="C34" s="241"/>
    </row>
    <row r="35" customFormat="false" ht="25.5" hidden="false" customHeight="false" outlineLevel="0" collapsed="false">
      <c r="A35" s="261" t="s">
        <v>350</v>
      </c>
      <c r="B35" s="128" t="n">
        <f aca="false">+((B29/B34)*B32)/B33</f>
        <v>0.0269296798734305</v>
      </c>
      <c r="C35" s="241"/>
    </row>
    <row r="36" customFormat="false" ht="12.75" hidden="false" customHeight="false" outlineLevel="0" collapsed="false">
      <c r="A36" s="253" t="s">
        <v>351</v>
      </c>
      <c r="B36" s="253"/>
      <c r="C36" s="288" t="n">
        <f aca="false">+C28*(B30-B33)*B35</f>
        <v>0</v>
      </c>
    </row>
    <row r="37" customFormat="false" ht="12.75" hidden="false" customHeight="false" outlineLevel="0" collapsed="false">
      <c r="C37" s="245"/>
    </row>
    <row r="38" customFormat="false" ht="12.75" hidden="false" customHeight="false" outlineLevel="0" collapsed="false">
      <c r="A38" s="285" t="s">
        <v>352</v>
      </c>
      <c r="B38" s="285"/>
      <c r="C38" s="285"/>
    </row>
    <row r="39" customFormat="false" ht="12.75" hidden="false" customHeight="false" outlineLevel="0" collapsed="false">
      <c r="A39" s="264" t="s">
        <v>200</v>
      </c>
      <c r="B39" s="302"/>
      <c r="C39" s="303" t="n">
        <f aca="false">+'Vigilante 12X36 Diurno Arm'!D12</f>
        <v>0</v>
      </c>
    </row>
    <row r="40" customFormat="false" ht="12.75" hidden="false" customHeight="false" outlineLevel="0" collapsed="false">
      <c r="A40" s="264" t="s">
        <v>201</v>
      </c>
      <c r="B40" s="304"/>
      <c r="C40" s="303" t="n">
        <f aca="false">+'Vigilante 12X36 Diurno Arm'!D13</f>
        <v>0</v>
      </c>
    </row>
    <row r="41" customFormat="false" ht="12.75" hidden="false" customHeight="false" outlineLevel="0" collapsed="false">
      <c r="A41" s="264" t="s">
        <v>202</v>
      </c>
      <c r="B41" s="304"/>
      <c r="C41" s="303" t="n">
        <f aca="false">+'Vigilante 12X36 Diurno Arm'!D14</f>
        <v>0</v>
      </c>
    </row>
    <row r="42" customFormat="false" ht="12.75" hidden="false" customHeight="false" outlineLevel="0" collapsed="false">
      <c r="A42" s="264" t="s">
        <v>203</v>
      </c>
      <c r="B42" s="304"/>
      <c r="C42" s="303" t="n">
        <f aca="false">+'Vigilante 12X36 Diurno Arm'!D15</f>
        <v>0</v>
      </c>
    </row>
    <row r="43" customFormat="false" ht="12.75" hidden="false" customHeight="false" outlineLevel="0" collapsed="false">
      <c r="A43" s="264" t="s">
        <v>205</v>
      </c>
      <c r="B43" s="304"/>
      <c r="C43" s="303" t="n">
        <f aca="false">+'Vigilante 12X36 Diurno Arm'!D16</f>
        <v>0</v>
      </c>
    </row>
    <row r="44" customFormat="false" ht="12.75" hidden="false" customHeight="false" outlineLevel="0" collapsed="false">
      <c r="A44" s="264" t="s">
        <v>209</v>
      </c>
      <c r="B44" s="304"/>
      <c r="C44" s="303" t="n">
        <f aca="false">+'Vigilante 12X36 Diurno Arm'!D18</f>
        <v>0</v>
      </c>
    </row>
    <row r="45" customFormat="false" ht="12.75" hidden="false" customHeight="false" outlineLevel="0" collapsed="false">
      <c r="A45" s="264" t="s">
        <v>213</v>
      </c>
      <c r="B45" s="304"/>
      <c r="C45" s="303" t="n">
        <f aca="false">+'Vigilante 12X36 Diurno Arm'!D20</f>
        <v>0</v>
      </c>
    </row>
    <row r="46" customFormat="false" ht="12.75" hidden="false" customHeight="false" outlineLevel="0" collapsed="false">
      <c r="A46" s="230" t="s">
        <v>353</v>
      </c>
      <c r="B46" s="305"/>
      <c r="C46" s="306" t="n">
        <f aca="false">SUM(C39:C45)</f>
        <v>0</v>
      </c>
    </row>
    <row r="47" customFormat="false" ht="12.75" hidden="false" customHeight="false" outlineLevel="0" collapsed="false">
      <c r="A47" s="128" t="s">
        <v>332</v>
      </c>
      <c r="B47" s="299" t="n">
        <f aca="false">+B3</f>
        <v>220</v>
      </c>
      <c r="C47" s="304"/>
    </row>
    <row r="48" customFormat="false" ht="12.75" hidden="false" customHeight="false" outlineLevel="0" collapsed="false">
      <c r="A48" s="128" t="s">
        <v>338</v>
      </c>
      <c r="B48" s="304"/>
      <c r="C48" s="307" t="n">
        <f aca="false">ROUND(+C46/B47,2)</f>
        <v>0</v>
      </c>
    </row>
    <row r="49" customFormat="false" ht="12.75" hidden="false" customHeight="false" outlineLevel="0" collapsed="false">
      <c r="A49" s="128" t="s">
        <v>354</v>
      </c>
      <c r="B49" s="295" t="n">
        <f aca="false">(365.25/12/2)/(7/7)</f>
        <v>15.21875</v>
      </c>
      <c r="C49" s="304"/>
    </row>
    <row r="50" customFormat="false" ht="12.75" hidden="false" customHeight="false" outlineLevel="0" collapsed="false">
      <c r="A50" s="128" t="s">
        <v>355</v>
      </c>
      <c r="B50" s="225" t="n">
        <v>0.5</v>
      </c>
      <c r="C50" s="128"/>
    </row>
    <row r="51" customFormat="false" ht="12.75" hidden="false" customHeight="false" outlineLevel="0" collapsed="false">
      <c r="A51" s="268" t="s">
        <v>356</v>
      </c>
      <c r="B51" s="268"/>
      <c r="C51" s="288" t="n">
        <f aca="false">ROUND((B49*C48)*(1+B50),2)</f>
        <v>0</v>
      </c>
    </row>
    <row r="53" customFormat="false" ht="12.75" hidden="false" customHeight="false" outlineLevel="0" collapsed="false">
      <c r="A53" s="285" t="s">
        <v>357</v>
      </c>
      <c r="B53" s="285"/>
      <c r="C53" s="285"/>
    </row>
    <row r="54" customFormat="false" ht="12.75" hidden="false" customHeight="false" outlineLevel="0" collapsed="false">
      <c r="A54" s="128" t="s">
        <v>347</v>
      </c>
      <c r="B54" s="128" t="n">
        <v>365.25</v>
      </c>
      <c r="C54" s="260"/>
    </row>
    <row r="55" customFormat="false" ht="12.75" hidden="false" customHeight="false" outlineLevel="0" collapsed="false">
      <c r="A55" s="128" t="s">
        <v>349</v>
      </c>
      <c r="B55" s="110" t="n">
        <v>12</v>
      </c>
      <c r="C55" s="260"/>
    </row>
    <row r="56" customFormat="false" ht="12.75" hidden="false" customHeight="false" outlineLevel="0" collapsed="false">
      <c r="A56" s="128" t="s">
        <v>358</v>
      </c>
      <c r="B56" s="225" t="n">
        <v>0.5</v>
      </c>
      <c r="C56" s="260"/>
    </row>
    <row r="57" customFormat="false" ht="12.75" hidden="false" customHeight="false" outlineLevel="0" collapsed="false">
      <c r="A57" s="308" t="s">
        <v>359</v>
      </c>
      <c r="B57" s="110" t="n">
        <v>7</v>
      </c>
      <c r="C57" s="260"/>
    </row>
    <row r="58" customFormat="false" ht="12.75" hidden="false" customHeight="false" outlineLevel="0" collapsed="false">
      <c r="A58" s="110" t="s">
        <v>360</v>
      </c>
      <c r="B58" s="260"/>
      <c r="C58" s="129" t="n">
        <f aca="false">+'Vigilante 12X36 Diurno Arm'!$D$12</f>
        <v>0</v>
      </c>
    </row>
    <row r="59" customFormat="false" ht="12.75" hidden="false" customHeight="false" outlineLevel="0" collapsed="false">
      <c r="A59" s="110" t="s">
        <v>201</v>
      </c>
      <c r="B59" s="260"/>
      <c r="C59" s="129" t="n">
        <f aca="false">+'Vigilante 12X36 Diurno Arm'!$D$13</f>
        <v>0</v>
      </c>
    </row>
    <row r="60" customFormat="false" ht="12.75" hidden="false" customHeight="false" outlineLevel="0" collapsed="false">
      <c r="A60" s="110" t="s">
        <v>202</v>
      </c>
      <c r="B60" s="260"/>
      <c r="C60" s="129" t="n">
        <f aca="false">+'Vigilante 12X36 Diurno Arm'!$D$14</f>
        <v>0</v>
      </c>
    </row>
    <row r="61" customFormat="false" ht="12.75" hidden="false" customHeight="false" outlineLevel="0" collapsed="false">
      <c r="A61" s="309" t="s">
        <v>337</v>
      </c>
      <c r="B61" s="260"/>
      <c r="C61" s="310" t="n">
        <f aca="false">SUM(C58:C60)</f>
        <v>0</v>
      </c>
    </row>
    <row r="62" customFormat="false" ht="12.75" hidden="false" customHeight="false" outlineLevel="0" collapsed="false">
      <c r="A62" s="128" t="s">
        <v>332</v>
      </c>
      <c r="B62" s="311" t="n">
        <f aca="false">+B3</f>
        <v>220</v>
      </c>
      <c r="C62" s="260"/>
    </row>
    <row r="63" customFormat="false" ht="12.75" hidden="false" customHeight="false" outlineLevel="0" collapsed="false">
      <c r="A63" s="110" t="s">
        <v>361</v>
      </c>
      <c r="B63" s="225" t="n">
        <v>0.2</v>
      </c>
      <c r="C63" s="260"/>
    </row>
    <row r="64" customFormat="false" ht="12.75" hidden="false" customHeight="false" outlineLevel="0" collapsed="false">
      <c r="A64" s="110" t="s">
        <v>362</v>
      </c>
      <c r="B64" s="260"/>
      <c r="C64" s="78" t="n">
        <f aca="false">ROUND((C61/B62)*B63,2)</f>
        <v>0</v>
      </c>
    </row>
    <row r="65" customFormat="false" ht="12.75" hidden="false" customHeight="false" outlineLevel="0" collapsed="false">
      <c r="A65" s="110" t="s">
        <v>363</v>
      </c>
      <c r="B65" s="128" t="n">
        <f aca="false">ROUND(+B54/B55*B56*B57,0)</f>
        <v>107</v>
      </c>
      <c r="C65" s="312"/>
    </row>
    <row r="66" customFormat="false" ht="12.75" hidden="false" customHeight="false" outlineLevel="0" collapsed="false">
      <c r="A66" s="313" t="s">
        <v>364</v>
      </c>
      <c r="B66" s="313"/>
      <c r="C66" s="26" t="n">
        <f aca="false">ROUND(+B65*C64,2)</f>
        <v>0</v>
      </c>
    </row>
    <row r="68" customFormat="false" ht="12.75" hidden="false" customHeight="false" outlineLevel="0" collapsed="false">
      <c r="A68" s="255" t="s">
        <v>365</v>
      </c>
      <c r="B68" s="255"/>
      <c r="C68" s="255"/>
    </row>
    <row r="69" customFormat="false" ht="12.75" hidden="false" customHeight="false" outlineLevel="0" collapsed="false">
      <c r="A69" s="128" t="s">
        <v>338</v>
      </c>
      <c r="B69" s="260"/>
      <c r="C69" s="296" t="n">
        <f aca="false">+C66</f>
        <v>0</v>
      </c>
    </row>
    <row r="70" customFormat="false" ht="12.75" hidden="false" customHeight="false" outlineLevel="0" collapsed="false">
      <c r="A70" s="128" t="s">
        <v>341</v>
      </c>
      <c r="B70" s="128" t="n">
        <v>192</v>
      </c>
      <c r="C70" s="241"/>
    </row>
    <row r="71" customFormat="false" ht="12.75" hidden="false" customHeight="false" outlineLevel="0" collapsed="false">
      <c r="A71" s="128" t="s">
        <v>347</v>
      </c>
      <c r="B71" s="128" t="n">
        <f aca="false">+$B$4</f>
        <v>365.25</v>
      </c>
      <c r="C71" s="241"/>
    </row>
    <row r="72" customFormat="false" ht="12.75" hidden="false" customHeight="false" outlineLevel="0" collapsed="false">
      <c r="A72" s="128" t="s">
        <v>339</v>
      </c>
      <c r="B72" s="128" t="n">
        <v>16</v>
      </c>
      <c r="C72" s="241"/>
    </row>
    <row r="73" customFormat="false" ht="12.75" hidden="false" customHeight="false" outlineLevel="0" collapsed="false">
      <c r="A73" s="128" t="s">
        <v>342</v>
      </c>
      <c r="B73" s="225" t="n">
        <v>0.5</v>
      </c>
      <c r="C73" s="241"/>
    </row>
    <row r="74" customFormat="false" ht="12.75" hidden="false" customHeight="false" outlineLevel="0" collapsed="false">
      <c r="A74" s="128" t="s">
        <v>348</v>
      </c>
      <c r="B74" s="301" t="n">
        <f aca="false">ROUND(((B71/7)*6)-B72,2)</f>
        <v>297.07</v>
      </c>
      <c r="C74" s="241"/>
    </row>
    <row r="75" customFormat="false" ht="12.75" hidden="false" customHeight="false" outlineLevel="0" collapsed="false">
      <c r="A75" s="128" t="s">
        <v>349</v>
      </c>
      <c r="B75" s="110" t="n">
        <v>12</v>
      </c>
      <c r="C75" s="241"/>
    </row>
    <row r="76" customFormat="false" ht="25.5" hidden="false" customHeight="false" outlineLevel="0" collapsed="false">
      <c r="A76" s="261" t="s">
        <v>350</v>
      </c>
      <c r="B76" s="128" t="n">
        <f aca="false">+((B70/B75)*B73)/B74</f>
        <v>0.0269296798734305</v>
      </c>
      <c r="C76" s="241"/>
    </row>
    <row r="77" customFormat="false" ht="12.75" hidden="false" customHeight="false" outlineLevel="0" collapsed="false">
      <c r="A77" s="253" t="s">
        <v>351</v>
      </c>
      <c r="B77" s="253"/>
      <c r="C77" s="288" t="n">
        <f aca="false">+C69/B70*(B71-B74)*B76</f>
        <v>0</v>
      </c>
    </row>
    <row r="79" customFormat="false" ht="12.75" hidden="false" customHeight="false" outlineLevel="0" collapsed="false">
      <c r="A79" s="285" t="s">
        <v>366</v>
      </c>
      <c r="B79" s="285"/>
      <c r="C79" s="285"/>
    </row>
    <row r="80" customFormat="false" ht="12.75" hidden="false" customHeight="false" outlineLevel="0" collapsed="false">
      <c r="A80" s="128" t="s">
        <v>347</v>
      </c>
      <c r="B80" s="128" t="n">
        <f aca="false">+$B$4</f>
        <v>365.25</v>
      </c>
      <c r="C80" s="260"/>
    </row>
    <row r="81" customFormat="false" ht="12.75" hidden="false" customHeight="false" outlineLevel="0" collapsed="false">
      <c r="A81" s="128" t="s">
        <v>349</v>
      </c>
      <c r="B81" s="110" t="n">
        <v>12</v>
      </c>
      <c r="C81" s="260"/>
    </row>
    <row r="82" customFormat="false" ht="12.75" hidden="false" customHeight="false" outlineLevel="0" collapsed="false">
      <c r="A82" s="128" t="s">
        <v>358</v>
      </c>
      <c r="B82" s="225" t="n">
        <v>0.5</v>
      </c>
      <c r="C82" s="260"/>
      <c r="D82" s="314"/>
    </row>
    <row r="83" customFormat="false" ht="12.75" hidden="false" customHeight="false" outlineLevel="0" collapsed="false">
      <c r="A83" s="308" t="s">
        <v>359</v>
      </c>
      <c r="B83" s="110" t="n">
        <v>7</v>
      </c>
      <c r="C83" s="260"/>
      <c r="D83" s="314"/>
    </row>
    <row r="84" customFormat="false" ht="12.75" hidden="false" customHeight="false" outlineLevel="0" collapsed="false">
      <c r="A84" s="110" t="s">
        <v>367</v>
      </c>
      <c r="B84" s="295" t="n">
        <f aca="false">(365.25/12/2)/(7/7)</f>
        <v>15.21875</v>
      </c>
      <c r="C84" s="128"/>
      <c r="D84" s="314"/>
    </row>
    <row r="85" customFormat="false" ht="12.75" hidden="false" customHeight="false" outlineLevel="0" collapsed="false">
      <c r="A85" s="110" t="s">
        <v>368</v>
      </c>
      <c r="B85" s="128" t="n">
        <f aca="false">ROUND(+B84*B83,2)</f>
        <v>106.53</v>
      </c>
      <c r="C85" s="128"/>
    </row>
    <row r="86" customFormat="false" ht="12.75" hidden="false" customHeight="false" outlineLevel="0" collapsed="false">
      <c r="A86" s="110" t="s">
        <v>360</v>
      </c>
      <c r="B86" s="260"/>
      <c r="C86" s="129" t="n">
        <f aca="false">+'Vigilante 12X36 Diurno Arm'!$D$12</f>
        <v>0</v>
      </c>
    </row>
    <row r="87" customFormat="false" ht="12.75" hidden="false" customHeight="false" outlineLevel="0" collapsed="false">
      <c r="A87" s="110" t="s">
        <v>201</v>
      </c>
      <c r="B87" s="260"/>
      <c r="C87" s="129" t="n">
        <f aca="false">+'Vigilante 12X36 Diurno Arm'!$D$13</f>
        <v>0</v>
      </c>
    </row>
    <row r="88" customFormat="false" ht="12.75" hidden="false" customHeight="false" outlineLevel="0" collapsed="false">
      <c r="A88" s="110" t="s">
        <v>202</v>
      </c>
      <c r="B88" s="260"/>
      <c r="C88" s="129" t="n">
        <f aca="false">+'Vigilante 12X36 Diurno Arm'!$D$14</f>
        <v>0</v>
      </c>
    </row>
    <row r="89" customFormat="false" ht="12.75" hidden="false" customHeight="false" outlineLevel="0" collapsed="false">
      <c r="A89" s="309" t="s">
        <v>337</v>
      </c>
      <c r="B89" s="260"/>
      <c r="C89" s="310" t="n">
        <f aca="false">SUM(C86:C88)</f>
        <v>0</v>
      </c>
      <c r="D89" s="103"/>
    </row>
    <row r="90" customFormat="false" ht="12.75" hidden="false" customHeight="false" outlineLevel="0" collapsed="false">
      <c r="A90" s="128" t="s">
        <v>332</v>
      </c>
      <c r="B90" s="311" t="n">
        <f aca="false">+B3</f>
        <v>220</v>
      </c>
      <c r="C90" s="260"/>
    </row>
    <row r="91" customFormat="false" ht="12.75" hidden="false" customHeight="false" outlineLevel="0" collapsed="false">
      <c r="A91" s="110" t="s">
        <v>361</v>
      </c>
      <c r="B91" s="225" t="n">
        <v>0.2</v>
      </c>
      <c r="C91" s="260"/>
    </row>
    <row r="92" customFormat="false" ht="12.75" hidden="false" customHeight="false" outlineLevel="0" collapsed="false">
      <c r="A92" s="110" t="s">
        <v>362</v>
      </c>
      <c r="B92" s="260"/>
      <c r="C92" s="78" t="n">
        <f aca="false">ROUND((C89/B90)*B91,2)</f>
        <v>0</v>
      </c>
    </row>
    <row r="93" customFormat="false" ht="12.75" hidden="false" customHeight="false" outlineLevel="0" collapsed="false">
      <c r="A93" s="110" t="s">
        <v>369</v>
      </c>
      <c r="B93" s="128" t="n">
        <v>60</v>
      </c>
      <c r="C93" s="260"/>
    </row>
    <row r="94" customFormat="false" ht="12.75" hidden="false" customHeight="false" outlineLevel="0" collapsed="false">
      <c r="A94" s="110" t="s">
        <v>370</v>
      </c>
      <c r="B94" s="128" t="n">
        <v>52.5</v>
      </c>
      <c r="C94" s="260"/>
    </row>
    <row r="95" customFormat="false" ht="12.75" hidden="false" customHeight="false" outlineLevel="0" collapsed="false">
      <c r="A95" s="110" t="s">
        <v>371</v>
      </c>
      <c r="B95" s="128" t="n">
        <f aca="false">+B93/B94</f>
        <v>1.14285714285714</v>
      </c>
      <c r="C95" s="260"/>
    </row>
    <row r="96" customFormat="false" ht="12.75" hidden="false" customHeight="false" outlineLevel="0" collapsed="false">
      <c r="A96" s="110" t="s">
        <v>372</v>
      </c>
      <c r="B96" s="128" t="n">
        <f aca="false">ROUND(+B95*B85,2)</f>
        <v>121.75</v>
      </c>
      <c r="C96" s="260"/>
    </row>
    <row r="97" customFormat="false" ht="12.75" hidden="false" customHeight="false" outlineLevel="0" collapsed="false">
      <c r="A97" s="110" t="s">
        <v>373</v>
      </c>
      <c r="B97" s="128" t="n">
        <f aca="false">ROUND(B96-B85,2)</f>
        <v>15.22</v>
      </c>
      <c r="C97" s="312"/>
    </row>
    <row r="98" customFormat="false" ht="12.75" hidden="false" customHeight="false" outlineLevel="0" collapsed="false">
      <c r="A98" s="268" t="s">
        <v>374</v>
      </c>
      <c r="B98" s="268"/>
      <c r="C98" s="272" t="n">
        <f aca="false">+B97*C92</f>
        <v>0</v>
      </c>
    </row>
    <row r="100" customFormat="false" ht="12.75" hidden="false" customHeight="false" outlineLevel="0" collapsed="false">
      <c r="A100" s="285" t="s">
        <v>375</v>
      </c>
      <c r="B100" s="285"/>
      <c r="C100" s="285"/>
    </row>
    <row r="101" customFormat="false" ht="12.75" hidden="false" customHeight="false" outlineLevel="0" collapsed="false">
      <c r="A101" s="128" t="s">
        <v>347</v>
      </c>
      <c r="B101" s="128" t="n">
        <f aca="false">+$B$4</f>
        <v>365.25</v>
      </c>
      <c r="C101" s="260"/>
    </row>
    <row r="102" customFormat="false" ht="12.75" hidden="false" customHeight="false" outlineLevel="0" collapsed="false">
      <c r="A102" s="128" t="s">
        <v>349</v>
      </c>
      <c r="B102" s="110" t="n">
        <v>12</v>
      </c>
      <c r="C102" s="260"/>
    </row>
    <row r="103" customFormat="false" ht="12.75" hidden="false" customHeight="false" outlineLevel="0" collapsed="false">
      <c r="A103" s="128" t="s">
        <v>358</v>
      </c>
      <c r="B103" s="225" t="n">
        <v>0.5</v>
      </c>
      <c r="C103" s="260"/>
    </row>
    <row r="104" customFormat="false" ht="12.75" hidden="false" customHeight="false" outlineLevel="0" collapsed="false">
      <c r="A104" s="110" t="s">
        <v>376</v>
      </c>
      <c r="B104" s="128" t="n">
        <f aca="false">ROUND((B101/B102)*B103,2)</f>
        <v>15.22</v>
      </c>
      <c r="C104" s="260"/>
    </row>
    <row r="105" customFormat="false" ht="12.75" hidden="false" customHeight="false" outlineLevel="0" collapsed="false">
      <c r="A105" s="315" t="s">
        <v>377</v>
      </c>
      <c r="B105" s="316"/>
      <c r="C105" s="260"/>
    </row>
    <row r="106" customFormat="false" ht="12.75" hidden="false" customHeight="false" outlineLevel="0" collapsed="false">
      <c r="A106" s="128" t="s">
        <v>378</v>
      </c>
      <c r="B106" s="225" t="n">
        <v>0.06</v>
      </c>
      <c r="C106" s="260"/>
    </row>
    <row r="107" customFormat="false" ht="12.75" hidden="false" customHeight="false" outlineLevel="0" collapsed="false">
      <c r="A107" s="268" t="s">
        <v>379</v>
      </c>
      <c r="B107" s="268"/>
      <c r="C107" s="288" t="n">
        <f aca="false">ROUND((B104*(B105*2)-($B$6*B106)),2)</f>
        <v>0</v>
      </c>
    </row>
    <row r="109" customFormat="false" ht="12.75" hidden="false" customHeight="false" outlineLevel="0" collapsed="false">
      <c r="A109" s="285" t="s">
        <v>380</v>
      </c>
      <c r="B109" s="285"/>
      <c r="C109" s="285"/>
    </row>
    <row r="110" customFormat="false" ht="12.75" hidden="false" customHeight="false" outlineLevel="0" collapsed="false">
      <c r="A110" s="128" t="s">
        <v>347</v>
      </c>
      <c r="B110" s="128" t="n">
        <f aca="false">+$B$4</f>
        <v>365.25</v>
      </c>
      <c r="C110" s="260"/>
    </row>
    <row r="111" customFormat="false" ht="12.75" hidden="false" customHeight="false" outlineLevel="0" collapsed="false">
      <c r="A111" s="128" t="s">
        <v>349</v>
      </c>
      <c r="B111" s="110" t="n">
        <v>12</v>
      </c>
      <c r="C111" s="260"/>
    </row>
    <row r="112" customFormat="false" ht="12.75" hidden="false" customHeight="false" outlineLevel="0" collapsed="false">
      <c r="A112" s="128" t="s">
        <v>358</v>
      </c>
      <c r="B112" s="225" t="n">
        <v>0.5</v>
      </c>
      <c r="C112" s="260"/>
    </row>
    <row r="113" customFormat="false" ht="12.75" hidden="false" customHeight="false" outlineLevel="0" collapsed="false">
      <c r="A113" s="110" t="s">
        <v>376</v>
      </c>
      <c r="B113" s="128" t="n">
        <f aca="false">ROUND((B110/B111)*B112,2)</f>
        <v>15.22</v>
      </c>
      <c r="C113" s="260"/>
    </row>
    <row r="114" customFormat="false" ht="12.75" hidden="false" customHeight="false" outlineLevel="0" collapsed="false">
      <c r="A114" s="315" t="s">
        <v>381</v>
      </c>
      <c r="B114" s="316"/>
      <c r="C114" s="260"/>
    </row>
    <row r="115" customFormat="false" ht="12.75" hidden="false" customHeight="false" outlineLevel="0" collapsed="false">
      <c r="A115" s="128" t="s">
        <v>382</v>
      </c>
      <c r="B115" s="225" t="n">
        <v>0.2</v>
      </c>
      <c r="C115" s="260"/>
    </row>
    <row r="116" customFormat="false" ht="12.75" hidden="false" customHeight="false" outlineLevel="0" collapsed="false">
      <c r="A116" s="268" t="s">
        <v>381</v>
      </c>
      <c r="B116" s="268"/>
      <c r="C116" s="288" t="n">
        <f aca="false">ROUND((B113*(B114)-((B113*B114)*B115)),2)</f>
        <v>0</v>
      </c>
    </row>
    <row r="118" customFormat="false" ht="12.75" hidden="false" customHeight="false" outlineLevel="0" collapsed="false">
      <c r="A118" s="285" t="s">
        <v>383</v>
      </c>
      <c r="B118" s="285"/>
      <c r="C118" s="285"/>
    </row>
    <row r="119" customFormat="false" ht="12.75" hidden="false" customHeight="false" outlineLevel="0" collapsed="false">
      <c r="A119" s="128" t="s">
        <v>384</v>
      </c>
      <c r="B119" s="129" t="n">
        <f aca="false">+B7</f>
        <v>0</v>
      </c>
      <c r="C119" s="260"/>
    </row>
    <row r="120" customFormat="false" ht="12.75" hidden="false" customHeight="false" outlineLevel="0" collapsed="false">
      <c r="A120" s="128" t="s">
        <v>385</v>
      </c>
      <c r="B120" s="128" t="n">
        <v>12</v>
      </c>
      <c r="C120" s="260"/>
    </row>
    <row r="121" customFormat="false" ht="12.75" hidden="false" customHeight="false" outlineLevel="0" collapsed="false">
      <c r="A121" s="246" t="s">
        <v>386</v>
      </c>
      <c r="B121" s="274"/>
      <c r="C121" s="260"/>
    </row>
    <row r="122" customFormat="false" ht="12.75" hidden="false" customHeight="false" outlineLevel="0" collapsed="false">
      <c r="A122" s="268" t="s">
        <v>387</v>
      </c>
      <c r="B122" s="268"/>
      <c r="C122" s="288" t="n">
        <f aca="false">ROUND(+(B119/B120)*B121,2)</f>
        <v>0</v>
      </c>
    </row>
    <row r="124" customFormat="false" ht="27" hidden="false" customHeight="true" outlineLevel="0" collapsed="false">
      <c r="A124" s="317" t="s">
        <v>388</v>
      </c>
      <c r="B124" s="317"/>
      <c r="C124" s="317"/>
    </row>
    <row r="125" s="34" customFormat="true" ht="12.75" hidden="false" customHeight="false" outlineLevel="0" collapsed="false">
      <c r="A125" s="318" t="s">
        <v>389</v>
      </c>
      <c r="B125" s="274" t="n">
        <f aca="false">+B121</f>
        <v>0</v>
      </c>
      <c r="C125" s="260"/>
    </row>
    <row r="126" customFormat="false" ht="12.75" hidden="false" customHeight="false" outlineLevel="0" collapsed="false">
      <c r="A126" s="128" t="s">
        <v>390</v>
      </c>
      <c r="B126" s="129" t="n">
        <f aca="false">+'Vigilante 12X36 Diurno Arm'!$D$23</f>
        <v>0</v>
      </c>
      <c r="C126" s="260"/>
    </row>
    <row r="127" customFormat="false" ht="12.75" hidden="false" customHeight="false" outlineLevel="0" collapsed="false">
      <c r="A127" s="128" t="s">
        <v>223</v>
      </c>
      <c r="B127" s="129" t="n">
        <f aca="false">+'Vigilante 12X36 Diurno Arm'!$D$29</f>
        <v>0</v>
      </c>
      <c r="C127" s="260"/>
    </row>
    <row r="128" customFormat="false" ht="12.75" hidden="false" customHeight="false" outlineLevel="0" collapsed="false">
      <c r="A128" s="319" t="s">
        <v>226</v>
      </c>
      <c r="B128" s="129" t="n">
        <f aca="false">+'Vigilante 12X36 Diurno Arm'!$D$31</f>
        <v>0</v>
      </c>
      <c r="C128" s="260"/>
    </row>
    <row r="129" customFormat="false" ht="12.75" hidden="false" customHeight="false" outlineLevel="0" collapsed="false">
      <c r="A129" s="319" t="s">
        <v>228</v>
      </c>
      <c r="B129" s="129" t="n">
        <f aca="false">+'Vigilante 12X36 Diurno Arm'!$D$32</f>
        <v>0</v>
      </c>
      <c r="C129" s="260"/>
    </row>
    <row r="130" customFormat="false" ht="12.75" hidden="false" customHeight="false" outlineLevel="0" collapsed="false">
      <c r="A130" s="309" t="s">
        <v>391</v>
      </c>
      <c r="B130" s="310" t="n">
        <f aca="false">SUM(B126:B129)</f>
        <v>0</v>
      </c>
      <c r="C130" s="260"/>
    </row>
    <row r="131" customFormat="false" ht="12.75" hidden="false" customHeight="false" outlineLevel="0" collapsed="false">
      <c r="A131" s="76" t="s">
        <v>392</v>
      </c>
      <c r="B131" s="225" t="n">
        <v>0.4</v>
      </c>
      <c r="C131" s="260"/>
    </row>
    <row r="132" customFormat="false" ht="12.75" hidden="false" customHeight="false" outlineLevel="0" collapsed="false">
      <c r="A132" s="76" t="s">
        <v>393</v>
      </c>
      <c r="B132" s="225" t="n">
        <f aca="false">+'Vigilante 12X36 Diurno Arm'!$C$44</f>
        <v>0.08</v>
      </c>
      <c r="C132" s="260"/>
    </row>
    <row r="133" customFormat="false" ht="12.75" hidden="false" customHeight="false" outlineLevel="0" collapsed="false">
      <c r="A133" s="270" t="s">
        <v>394</v>
      </c>
      <c r="B133" s="270"/>
      <c r="C133" s="271" t="n">
        <f aca="false">ROUND(+B130*B131*B132*B125,2)</f>
        <v>0</v>
      </c>
    </row>
    <row r="134" customFormat="false" ht="12.75" hidden="false" customHeight="false" outlineLevel="0" collapsed="false">
      <c r="A134" s="76" t="s">
        <v>395</v>
      </c>
      <c r="B134" s="225" t="n">
        <v>0.1</v>
      </c>
      <c r="C134" s="260"/>
    </row>
    <row r="135" customFormat="false" ht="12.75" hidden="false" customHeight="false" outlineLevel="0" collapsed="false">
      <c r="A135" s="270" t="s">
        <v>396</v>
      </c>
      <c r="B135" s="270"/>
      <c r="C135" s="320" t="n">
        <f aca="false">ROUND(B134*B132*B130*B125,2)</f>
        <v>0</v>
      </c>
    </row>
    <row r="136" customFormat="false" ht="12.75" hidden="false" customHeight="false" outlineLevel="0" collapsed="false">
      <c r="A136" s="268" t="s">
        <v>397</v>
      </c>
      <c r="B136" s="268"/>
      <c r="C136" s="272" t="n">
        <f aca="false">+C135+C133</f>
        <v>0</v>
      </c>
    </row>
    <row r="138" customFormat="false" ht="12.75" hidden="false" customHeight="false" outlineLevel="0" collapsed="false">
      <c r="A138" s="285" t="s">
        <v>398</v>
      </c>
      <c r="B138" s="285"/>
      <c r="C138" s="285"/>
    </row>
    <row r="139" customFormat="false" ht="12.75" hidden="false" customHeight="false" outlineLevel="0" collapsed="false">
      <c r="A139" s="128" t="s">
        <v>384</v>
      </c>
      <c r="B139" s="129" t="n">
        <f aca="false">+B7</f>
        <v>0</v>
      </c>
      <c r="C139" s="260"/>
    </row>
    <row r="140" customFormat="false" ht="12.75" hidden="false" customHeight="false" outlineLevel="0" collapsed="false">
      <c r="A140" s="128" t="s">
        <v>399</v>
      </c>
      <c r="B140" s="321" t="n">
        <v>30</v>
      </c>
      <c r="C140" s="260"/>
    </row>
    <row r="141" customFormat="false" ht="12.75" hidden="false" customHeight="false" outlineLevel="0" collapsed="false">
      <c r="A141" s="128" t="s">
        <v>385</v>
      </c>
      <c r="B141" s="128" t="n">
        <v>12</v>
      </c>
      <c r="C141" s="260"/>
    </row>
    <row r="142" customFormat="false" ht="12.75" hidden="false" customHeight="false" outlineLevel="0" collapsed="false">
      <c r="A142" s="128" t="s">
        <v>400</v>
      </c>
      <c r="B142" s="128" t="n">
        <v>7</v>
      </c>
      <c r="C142" s="260"/>
    </row>
    <row r="143" customFormat="false" ht="12.75" hidden="false" customHeight="false" outlineLevel="0" collapsed="false">
      <c r="A143" s="246" t="s">
        <v>401</v>
      </c>
      <c r="B143" s="274"/>
      <c r="C143" s="260"/>
    </row>
    <row r="144" customFormat="false" ht="12.75" hidden="false" customHeight="false" outlineLevel="0" collapsed="false">
      <c r="A144" s="268" t="s">
        <v>402</v>
      </c>
      <c r="B144" s="268"/>
      <c r="C144" s="288" t="n">
        <f aca="false">+ROUND(((B139/B140/B141)*B142)*B143,2)</f>
        <v>0</v>
      </c>
    </row>
    <row r="146" customFormat="false" ht="24.75" hidden="false" customHeight="true" outlineLevel="0" collapsed="false">
      <c r="A146" s="317" t="s">
        <v>403</v>
      </c>
      <c r="B146" s="317"/>
      <c r="C146" s="317"/>
    </row>
    <row r="147" customFormat="false" ht="12.75" hidden="false" customHeight="false" outlineLevel="0" collapsed="false">
      <c r="A147" s="318" t="s">
        <v>404</v>
      </c>
      <c r="B147" s="274" t="n">
        <f aca="false">+B143</f>
        <v>0</v>
      </c>
      <c r="C147" s="260"/>
    </row>
    <row r="148" customFormat="false" ht="12.75" hidden="false" customHeight="false" outlineLevel="0" collapsed="false">
      <c r="A148" s="128" t="s">
        <v>390</v>
      </c>
      <c r="B148" s="129" t="n">
        <f aca="false">+'Vigilante 12X36 Diurno Arm'!$D$23</f>
        <v>0</v>
      </c>
      <c r="C148" s="260"/>
    </row>
    <row r="149" customFormat="false" ht="12.75" hidden="false" customHeight="false" outlineLevel="0" collapsed="false">
      <c r="A149" s="128" t="s">
        <v>223</v>
      </c>
      <c r="B149" s="129" t="n">
        <f aca="false">+'Vigilante 12X36 Diurno Arm'!$D$29</f>
        <v>0</v>
      </c>
      <c r="C149" s="260"/>
    </row>
    <row r="150" customFormat="false" ht="12.75" hidden="false" customHeight="false" outlineLevel="0" collapsed="false">
      <c r="A150" s="319" t="s">
        <v>226</v>
      </c>
      <c r="B150" s="129" t="n">
        <f aca="false">+'Vigilante 12X36 Diurno Arm'!$D$31</f>
        <v>0</v>
      </c>
      <c r="C150" s="260"/>
    </row>
    <row r="151" customFormat="false" ht="12.75" hidden="false" customHeight="false" outlineLevel="0" collapsed="false">
      <c r="A151" s="319" t="s">
        <v>228</v>
      </c>
      <c r="B151" s="129" t="n">
        <f aca="false">+'Vigilante 12X36 Diurno Arm'!$D$32</f>
        <v>0</v>
      </c>
      <c r="C151" s="260"/>
    </row>
    <row r="152" customFormat="false" ht="12.75" hidden="false" customHeight="false" outlineLevel="0" collapsed="false">
      <c r="A152" s="309" t="s">
        <v>391</v>
      </c>
      <c r="B152" s="310" t="n">
        <f aca="false">SUM(B148:B151)</f>
        <v>0</v>
      </c>
      <c r="C152" s="260"/>
    </row>
    <row r="153" customFormat="false" ht="12.75" hidden="false" customHeight="false" outlineLevel="0" collapsed="false">
      <c r="A153" s="76" t="s">
        <v>392</v>
      </c>
      <c r="B153" s="225" t="n">
        <v>0.4</v>
      </c>
      <c r="C153" s="260"/>
    </row>
    <row r="154" customFormat="false" ht="12.75" hidden="false" customHeight="false" outlineLevel="0" collapsed="false">
      <c r="A154" s="76" t="s">
        <v>393</v>
      </c>
      <c r="B154" s="225" t="n">
        <f aca="false">+'Vigilante 12X36 Diurno Arm'!$C$44</f>
        <v>0.08</v>
      </c>
      <c r="C154" s="260"/>
    </row>
    <row r="155" customFormat="false" ht="12.75" hidden="false" customHeight="false" outlineLevel="0" collapsed="false">
      <c r="A155" s="270" t="s">
        <v>394</v>
      </c>
      <c r="B155" s="270"/>
      <c r="C155" s="271" t="n">
        <f aca="false">ROUND(+B152*B153*B154*B147,2)</f>
        <v>0</v>
      </c>
    </row>
    <row r="156" customFormat="false" ht="12.75" hidden="false" customHeight="false" outlineLevel="0" collapsed="false">
      <c r="A156" s="76" t="s">
        <v>395</v>
      </c>
      <c r="B156" s="225" t="n">
        <v>0.1</v>
      </c>
      <c r="C156" s="260"/>
    </row>
    <row r="157" customFormat="false" ht="12.75" hidden="false" customHeight="false" outlineLevel="0" collapsed="false">
      <c r="A157" s="270" t="s">
        <v>396</v>
      </c>
      <c r="B157" s="270"/>
      <c r="C157" s="320" t="n">
        <f aca="false">ROUND(B156*B154*B152*B147,2)</f>
        <v>0</v>
      </c>
    </row>
    <row r="158" customFormat="false" ht="12.75" hidden="false" customHeight="false" outlineLevel="0" collapsed="false">
      <c r="A158" s="268" t="s">
        <v>405</v>
      </c>
      <c r="B158" s="268"/>
      <c r="C158" s="272" t="n">
        <f aca="false">+C157+C155</f>
        <v>0</v>
      </c>
    </row>
    <row r="160" customFormat="false" ht="12.75" hidden="false" customHeight="true" outlineLevel="0" collapsed="false">
      <c r="A160" s="317" t="s">
        <v>406</v>
      </c>
      <c r="B160" s="317"/>
      <c r="C160" s="317"/>
    </row>
    <row r="161" customFormat="false" ht="12.75" hidden="false" customHeight="true" outlineLevel="0" collapsed="false">
      <c r="A161" s="322" t="s">
        <v>407</v>
      </c>
      <c r="B161" s="322"/>
      <c r="C161" s="322"/>
    </row>
    <row r="162" customFormat="false" ht="12.75" hidden="false" customHeight="false" outlineLevel="0" collapsed="false">
      <c r="A162" s="322"/>
      <c r="B162" s="322"/>
      <c r="C162" s="322"/>
    </row>
    <row r="163" customFormat="false" ht="12.75" hidden="false" customHeight="false" outlineLevel="0" collapsed="false">
      <c r="A163" s="322"/>
      <c r="B163" s="322"/>
      <c r="C163" s="322"/>
    </row>
    <row r="164" customFormat="false" ht="12.75" hidden="false" customHeight="false" outlineLevel="0" collapsed="false">
      <c r="A164" s="322"/>
      <c r="B164" s="322"/>
      <c r="C164" s="322"/>
    </row>
    <row r="165" customFormat="false" ht="12.75" hidden="false" customHeight="false" outlineLevel="0" collapsed="false">
      <c r="A165" s="323"/>
      <c r="B165" s="323"/>
      <c r="C165" s="323"/>
    </row>
    <row r="166" customFormat="false" ht="12.75" hidden="false" customHeight="true" outlineLevel="0" collapsed="false">
      <c r="A166" s="317" t="s">
        <v>408</v>
      </c>
      <c r="B166" s="317"/>
      <c r="C166" s="317"/>
    </row>
    <row r="167" customFormat="false" ht="12.75" hidden="false" customHeight="false" outlineLevel="0" collapsed="false">
      <c r="A167" s="128" t="s">
        <v>409</v>
      </c>
      <c r="B167" s="129" t="n">
        <f aca="false">+$B$7</f>
        <v>0</v>
      </c>
      <c r="C167" s="260"/>
    </row>
    <row r="168" customFormat="false" ht="12.75" hidden="false" customHeight="false" outlineLevel="0" collapsed="false">
      <c r="A168" s="128" t="s">
        <v>349</v>
      </c>
      <c r="B168" s="128" t="n">
        <v>30</v>
      </c>
      <c r="C168" s="260"/>
    </row>
    <row r="169" customFormat="false" ht="12.75" hidden="false" customHeight="false" outlineLevel="0" collapsed="false">
      <c r="A169" s="128" t="s">
        <v>410</v>
      </c>
      <c r="B169" s="128" t="n">
        <v>12</v>
      </c>
      <c r="C169" s="260"/>
    </row>
    <row r="170" customFormat="false" ht="12.75" hidden="false" customHeight="false" outlineLevel="0" collapsed="false">
      <c r="A170" s="246" t="s">
        <v>411</v>
      </c>
      <c r="B170" s="246"/>
      <c r="C170" s="260"/>
    </row>
    <row r="171" customFormat="false" ht="12.75" hidden="false" customHeight="false" outlineLevel="0" collapsed="false">
      <c r="A171" s="268" t="s">
        <v>412</v>
      </c>
      <c r="B171" s="268"/>
      <c r="C171" s="253" t="n">
        <f aca="false">+ROUND((B167/B168/B169)*B170,2)</f>
        <v>0</v>
      </c>
    </row>
    <row r="173" customFormat="false" ht="12.75" hidden="false" customHeight="true" outlineLevel="0" collapsed="false">
      <c r="A173" s="317" t="s">
        <v>413</v>
      </c>
      <c r="B173" s="317"/>
      <c r="C173" s="317"/>
    </row>
    <row r="174" customFormat="false" ht="12.75" hidden="false" customHeight="false" outlineLevel="0" collapsed="false">
      <c r="A174" s="128" t="s">
        <v>409</v>
      </c>
      <c r="B174" s="129" t="n">
        <f aca="false">+$B$7</f>
        <v>0</v>
      </c>
      <c r="C174" s="260"/>
    </row>
    <row r="175" customFormat="false" ht="12.75" hidden="false" customHeight="false" outlineLevel="0" collapsed="false">
      <c r="A175" s="128" t="s">
        <v>349</v>
      </c>
      <c r="B175" s="128" t="n">
        <v>30</v>
      </c>
      <c r="C175" s="260"/>
    </row>
    <row r="176" customFormat="false" ht="12.75" hidden="false" customHeight="false" outlineLevel="0" collapsed="false">
      <c r="A176" s="128" t="s">
        <v>410</v>
      </c>
      <c r="B176" s="128" t="n">
        <v>12</v>
      </c>
      <c r="C176" s="260"/>
    </row>
    <row r="177" customFormat="false" ht="12.75" hidden="false" customHeight="false" outlineLevel="0" collapsed="false">
      <c r="A177" s="110" t="s">
        <v>414</v>
      </c>
      <c r="B177" s="128" t="n">
        <v>5</v>
      </c>
      <c r="C177" s="260"/>
    </row>
    <row r="178" customFormat="false" ht="12.75" hidden="false" customHeight="false" outlineLevel="0" collapsed="false">
      <c r="A178" s="246" t="s">
        <v>415</v>
      </c>
      <c r="B178" s="274"/>
      <c r="C178" s="260"/>
    </row>
    <row r="179" customFormat="false" ht="12.75" hidden="false" customHeight="false" outlineLevel="0" collapsed="false">
      <c r="A179" s="246" t="s">
        <v>416</v>
      </c>
      <c r="B179" s="274"/>
      <c r="C179" s="260"/>
    </row>
    <row r="180" customFormat="false" ht="12.75" hidden="false" customHeight="false" outlineLevel="0" collapsed="false">
      <c r="A180" s="268" t="s">
        <v>417</v>
      </c>
      <c r="B180" s="268"/>
      <c r="C180" s="288" t="n">
        <f aca="false">ROUND(+B174/B175/B176*B177*B178*B179,2)</f>
        <v>0</v>
      </c>
    </row>
    <row r="182" customFormat="false" ht="12.75" hidden="false" customHeight="true" outlineLevel="0" collapsed="false">
      <c r="A182" s="317" t="s">
        <v>418</v>
      </c>
      <c r="B182" s="317"/>
      <c r="C182" s="317"/>
    </row>
    <row r="183" customFormat="false" ht="12.75" hidden="false" customHeight="false" outlineLevel="0" collapsed="false">
      <c r="A183" s="128" t="s">
        <v>409</v>
      </c>
      <c r="B183" s="129" t="n">
        <f aca="false">+$B$7</f>
        <v>0</v>
      </c>
      <c r="C183" s="260"/>
    </row>
    <row r="184" customFormat="false" ht="12.75" hidden="false" customHeight="false" outlineLevel="0" collapsed="false">
      <c r="A184" s="128" t="s">
        <v>349</v>
      </c>
      <c r="B184" s="128" t="n">
        <v>30</v>
      </c>
      <c r="C184" s="260"/>
    </row>
    <row r="185" customFormat="false" ht="12.75" hidden="false" customHeight="false" outlineLevel="0" collapsed="false">
      <c r="A185" s="128" t="s">
        <v>410</v>
      </c>
      <c r="B185" s="128" t="n">
        <v>12</v>
      </c>
      <c r="C185" s="260"/>
    </row>
    <row r="186" customFormat="false" ht="12.75" hidden="false" customHeight="false" outlineLevel="0" collapsed="false">
      <c r="A186" s="110" t="s">
        <v>419</v>
      </c>
      <c r="B186" s="128" t="n">
        <v>15</v>
      </c>
      <c r="C186" s="260"/>
    </row>
    <row r="187" customFormat="false" ht="12.75" hidden="false" customHeight="false" outlineLevel="0" collapsed="false">
      <c r="A187" s="246" t="s">
        <v>420</v>
      </c>
      <c r="B187" s="274"/>
      <c r="C187" s="260"/>
    </row>
    <row r="188" customFormat="false" ht="12.75" hidden="false" customHeight="false" outlineLevel="0" collapsed="false">
      <c r="A188" s="268" t="s">
        <v>421</v>
      </c>
      <c r="B188" s="268"/>
      <c r="C188" s="288" t="n">
        <f aca="false">ROUND(+B183/B184/B185*B186*B187,2)</f>
        <v>0</v>
      </c>
    </row>
    <row r="190" customFormat="false" ht="12.75" hidden="false" customHeight="true" outlineLevel="0" collapsed="false">
      <c r="A190" s="317" t="s">
        <v>422</v>
      </c>
      <c r="B190" s="317"/>
      <c r="C190" s="317"/>
    </row>
    <row r="191" customFormat="false" ht="12.75" hidden="false" customHeight="false" outlineLevel="0" collapsed="false">
      <c r="A191" s="128" t="s">
        <v>409</v>
      </c>
      <c r="B191" s="129" t="n">
        <f aca="false">+$B$7</f>
        <v>0</v>
      </c>
      <c r="C191" s="260"/>
    </row>
    <row r="192" customFormat="false" ht="12.75" hidden="false" customHeight="false" outlineLevel="0" collapsed="false">
      <c r="A192" s="128" t="s">
        <v>349</v>
      </c>
      <c r="B192" s="128" t="n">
        <v>30</v>
      </c>
      <c r="C192" s="260"/>
    </row>
    <row r="193" customFormat="false" ht="12.75" hidden="false" customHeight="false" outlineLevel="0" collapsed="false">
      <c r="A193" s="128" t="s">
        <v>410</v>
      </c>
      <c r="B193" s="128" t="n">
        <v>12</v>
      </c>
      <c r="C193" s="260"/>
    </row>
    <row r="194" customFormat="false" ht="12.75" hidden="false" customHeight="false" outlineLevel="0" collapsed="false">
      <c r="A194" s="110" t="s">
        <v>419</v>
      </c>
      <c r="B194" s="128" t="n">
        <v>5</v>
      </c>
      <c r="C194" s="260"/>
    </row>
    <row r="195" customFormat="false" ht="12.75" hidden="false" customHeight="false" outlineLevel="0" collapsed="false">
      <c r="A195" s="246" t="s">
        <v>423</v>
      </c>
      <c r="B195" s="274"/>
      <c r="C195" s="260"/>
    </row>
    <row r="196" customFormat="false" ht="12.75" hidden="false" customHeight="false" outlineLevel="0" collapsed="false">
      <c r="A196" s="268" t="s">
        <v>424</v>
      </c>
      <c r="B196" s="268"/>
      <c r="C196" s="288" t="n">
        <f aca="false">ROUND(+B191/B192/B193*B194*B195,2)</f>
        <v>0</v>
      </c>
    </row>
    <row r="198" customFormat="false" ht="12.75" hidden="false" customHeight="false" outlineLevel="0" collapsed="false">
      <c r="A198" s="285" t="s">
        <v>425</v>
      </c>
      <c r="B198" s="285"/>
      <c r="C198" s="285"/>
    </row>
    <row r="199" customFormat="false" ht="12.75" hidden="false" customHeight="false" outlineLevel="0" collapsed="false">
      <c r="A199" s="324" t="s">
        <v>197</v>
      </c>
      <c r="B199" s="325"/>
      <c r="C199" s="129" t="n">
        <f aca="false">+'Vigilante 12X36 Diurno Arm'!D23-'Vigilante 12X36 Diurno Arm'!D21</f>
        <v>0</v>
      </c>
    </row>
    <row r="200" customFormat="false" ht="12.75" hidden="false" customHeight="false" outlineLevel="0" collapsed="false">
      <c r="A200" s="324" t="s">
        <v>256</v>
      </c>
      <c r="B200" s="325"/>
      <c r="C200" s="129" t="n">
        <f aca="false">+'Vigilante 12X36 Diurno Arm'!D68</f>
        <v>0</v>
      </c>
    </row>
    <row r="201" customFormat="false" ht="12.75" hidden="false" customHeight="false" outlineLevel="0" collapsed="false">
      <c r="A201" s="324" t="s">
        <v>287</v>
      </c>
      <c r="B201" s="325"/>
      <c r="C201" s="129" t="n">
        <f aca="false">+'Vigilante 12X36 Diurno Arm'!D116</f>
        <v>0</v>
      </c>
    </row>
    <row r="202" customFormat="false" ht="12.75" hidden="false" customHeight="false" outlineLevel="0" collapsed="false">
      <c r="A202" s="324" t="s">
        <v>268</v>
      </c>
      <c r="B202" s="325"/>
      <c r="C202" s="129" t="n">
        <f aca="false">+'Vigilante 12X36 Diurno Arm'!D107</f>
        <v>0</v>
      </c>
    </row>
    <row r="203" customFormat="false" ht="12.75" hidden="false" customHeight="false" outlineLevel="0" collapsed="false">
      <c r="A203" s="324" t="s">
        <v>276</v>
      </c>
      <c r="B203" s="325"/>
      <c r="C203" s="129" t="n">
        <f aca="false">+'Vigilante 12X36 Diurno Arm'!D108</f>
        <v>0</v>
      </c>
    </row>
    <row r="204" customFormat="false" ht="12.75" hidden="false" customHeight="false" outlineLevel="0" collapsed="false">
      <c r="A204" s="324" t="s">
        <v>258</v>
      </c>
      <c r="B204" s="325"/>
      <c r="C204" s="129" t="n">
        <f aca="false">+'Vigilante 12X36 Diurno Arm'!D79</f>
        <v>0</v>
      </c>
    </row>
    <row r="205" customFormat="false" ht="12.75" hidden="false" customHeight="false" outlineLevel="0" collapsed="false">
      <c r="A205" s="324" t="s">
        <v>337</v>
      </c>
      <c r="B205" s="325"/>
      <c r="C205" s="129" t="n">
        <f aca="false">SUM(C199:C204)</f>
        <v>0</v>
      </c>
    </row>
    <row r="206" customFormat="false" ht="12.75" hidden="false" customHeight="false" outlineLevel="0" collapsed="false">
      <c r="A206" s="324" t="s">
        <v>332</v>
      </c>
      <c r="B206" s="326" t="n">
        <v>220</v>
      </c>
      <c r="C206" s="327"/>
    </row>
    <row r="207" customFormat="false" ht="12.75" hidden="false" customHeight="false" outlineLevel="0" collapsed="false">
      <c r="A207" s="324" t="s">
        <v>338</v>
      </c>
      <c r="B207" s="325"/>
      <c r="C207" s="129" t="n">
        <f aca="false">ROUND(C205/B206,2)</f>
        <v>0</v>
      </c>
    </row>
    <row r="208" customFormat="false" ht="12.75" hidden="false" customHeight="false" outlineLevel="0" collapsed="false">
      <c r="A208" s="128" t="s">
        <v>426</v>
      </c>
      <c r="B208" s="295" t="n">
        <f aca="false">(365.25/12/2)/(7/7)</f>
        <v>15.21875</v>
      </c>
      <c r="C208" s="304"/>
    </row>
    <row r="209" customFormat="false" ht="12.75" hidden="false" customHeight="false" outlineLevel="0" collapsed="false">
      <c r="A209" s="268" t="s">
        <v>356</v>
      </c>
      <c r="B209" s="268"/>
      <c r="C209" s="272" t="n">
        <f aca="false">ROUND(+B208*C207,2)</f>
        <v>0</v>
      </c>
    </row>
    <row r="211" customFormat="false" ht="12.75" hidden="false" customHeight="true" outlineLevel="0" collapsed="false">
      <c r="A211" s="317" t="s">
        <v>427</v>
      </c>
      <c r="B211" s="317"/>
      <c r="C211" s="317"/>
    </row>
    <row r="212" customFormat="false" ht="12.75" hidden="false" customHeight="true" outlineLevel="0" collapsed="false">
      <c r="A212" s="328" t="s">
        <v>428</v>
      </c>
      <c r="B212" s="328"/>
      <c r="C212" s="328"/>
    </row>
    <row r="213" customFormat="false" ht="12.75" hidden="false" customHeight="false" outlineLevel="0" collapsed="false">
      <c r="A213" s="128" t="s">
        <v>409</v>
      </c>
      <c r="B213" s="129" t="n">
        <f aca="false">+$B$7</f>
        <v>0</v>
      </c>
      <c r="C213" s="260"/>
    </row>
    <row r="214" customFormat="false" ht="12.75" hidden="false" customHeight="false" outlineLevel="0" collapsed="false">
      <c r="A214" s="128" t="s">
        <v>429</v>
      </c>
      <c r="B214" s="129" t="n">
        <f aca="false">+B213*(1/3)</f>
        <v>0</v>
      </c>
      <c r="C214" s="260"/>
    </row>
    <row r="215" customFormat="false" ht="12.75" hidden="false" customHeight="false" outlineLevel="0" collapsed="false">
      <c r="A215" s="309" t="s">
        <v>391</v>
      </c>
      <c r="B215" s="310" t="n">
        <f aca="false">SUM(B213:B214)</f>
        <v>0</v>
      </c>
      <c r="C215" s="260"/>
    </row>
    <row r="216" customFormat="false" ht="12.75" hidden="false" customHeight="false" outlineLevel="0" collapsed="false">
      <c r="A216" s="128" t="s">
        <v>430</v>
      </c>
      <c r="B216" s="128" t="n">
        <v>4</v>
      </c>
      <c r="C216" s="260"/>
    </row>
    <row r="217" customFormat="false" ht="12.75" hidden="false" customHeight="false" outlineLevel="0" collapsed="false">
      <c r="A217" s="128" t="s">
        <v>410</v>
      </c>
      <c r="B217" s="128" t="n">
        <v>12</v>
      </c>
      <c r="C217" s="260"/>
    </row>
    <row r="218" customFormat="false" ht="12.75" hidden="false" customHeight="false" outlineLevel="0" collapsed="false">
      <c r="A218" s="246" t="s">
        <v>431</v>
      </c>
      <c r="B218" s="274"/>
      <c r="C218" s="260"/>
    </row>
    <row r="219" customFormat="false" ht="12.75" hidden="false" customHeight="false" outlineLevel="0" collapsed="false">
      <c r="A219" s="246" t="s">
        <v>432</v>
      </c>
      <c r="B219" s="274"/>
      <c r="C219" s="260"/>
    </row>
    <row r="220" customFormat="false" ht="12.75" hidden="false" customHeight="false" outlineLevel="0" collapsed="false">
      <c r="A220" s="268" t="s">
        <v>433</v>
      </c>
      <c r="B220" s="268"/>
      <c r="C220" s="288" t="n">
        <f aca="false">ROUND((((+B215*(B216/B217)/B217)*B218)*B219),2)</f>
        <v>0</v>
      </c>
    </row>
    <row r="221" customFormat="false" ht="12.75" hidden="false" customHeight="false" outlineLevel="0" collapsed="false">
      <c r="A221" s="268" t="s">
        <v>434</v>
      </c>
      <c r="B221" s="268"/>
      <c r="C221" s="268"/>
    </row>
    <row r="222" customFormat="false" ht="12.75" hidden="false" customHeight="false" outlineLevel="0" collapsed="false">
      <c r="A222" s="128" t="s">
        <v>409</v>
      </c>
      <c r="B222" s="129" t="n">
        <f aca="false">+'Vigilante 12X36 Diurno Arm'!D23</f>
        <v>0</v>
      </c>
      <c r="C222" s="260"/>
    </row>
    <row r="223" customFormat="false" ht="12.75" hidden="false" customHeight="false" outlineLevel="0" collapsed="false">
      <c r="A223" s="128" t="s">
        <v>223</v>
      </c>
      <c r="B223" s="129" t="n">
        <f aca="false">+'Vigilante 12X36 Diurno Arm'!D29</f>
        <v>0</v>
      </c>
      <c r="C223" s="260"/>
    </row>
    <row r="224" customFormat="false" ht="12.75" hidden="false" customHeight="false" outlineLevel="0" collapsed="false">
      <c r="A224" s="309" t="s">
        <v>391</v>
      </c>
      <c r="B224" s="310" t="n">
        <f aca="false">SUM(B222:B223)</f>
        <v>0</v>
      </c>
      <c r="C224" s="260"/>
    </row>
    <row r="225" customFormat="false" ht="12.75" hidden="false" customHeight="false" outlineLevel="0" collapsed="false">
      <c r="A225" s="128" t="s">
        <v>430</v>
      </c>
      <c r="B225" s="128" t="n">
        <v>4</v>
      </c>
      <c r="C225" s="260"/>
    </row>
    <row r="226" customFormat="false" ht="12.75" hidden="false" customHeight="false" outlineLevel="0" collapsed="false">
      <c r="A226" s="128" t="s">
        <v>410</v>
      </c>
      <c r="B226" s="128" t="n">
        <v>12</v>
      </c>
      <c r="C226" s="260"/>
    </row>
    <row r="227" customFormat="false" ht="12.75" hidden="false" customHeight="false" outlineLevel="0" collapsed="false">
      <c r="A227" s="246" t="s">
        <v>431</v>
      </c>
      <c r="B227" s="274"/>
      <c r="C227" s="260"/>
    </row>
    <row r="228" customFormat="false" ht="12.75" hidden="false" customHeight="false" outlineLevel="0" collapsed="false">
      <c r="A228" s="246" t="s">
        <v>432</v>
      </c>
      <c r="B228" s="274"/>
      <c r="C228" s="260"/>
    </row>
    <row r="229" customFormat="false" ht="12.75" hidden="false" customHeight="false" outlineLevel="0" collapsed="false">
      <c r="A229" s="110" t="s">
        <v>435</v>
      </c>
      <c r="B229" s="225" t="n">
        <f aca="false">+'Vigilante 12X36 Diurno Arm'!C45</f>
        <v>0.368</v>
      </c>
      <c r="C229" s="260"/>
    </row>
    <row r="230" customFormat="false" ht="12.75" hidden="false" customHeight="false" outlineLevel="0" collapsed="false">
      <c r="A230" s="268" t="s">
        <v>436</v>
      </c>
      <c r="B230" s="268"/>
      <c r="C230" s="272" t="n">
        <f aca="false">ROUND((((B224*(B225/B226)*B227)*B228)*B229),2)</f>
        <v>0</v>
      </c>
    </row>
  </sheetData>
  <mergeCells count="44"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00:C100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46:C146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90:C190"/>
    <mergeCell ref="A196:B196"/>
    <mergeCell ref="A198:C198"/>
    <mergeCell ref="A209:B209"/>
    <mergeCell ref="A211:C211"/>
    <mergeCell ref="A212:C212"/>
    <mergeCell ref="A220:B220"/>
    <mergeCell ref="A221:C221"/>
    <mergeCell ref="A230:B230"/>
  </mergeCells>
  <printOptions headings="false" gridLines="false" gridLinesSet="true" horizontalCentered="false" verticalCentered="false"/>
  <pageMargins left="1.00972222222222" right="0.109722222222222" top="0.170138888888889" bottom="0.529861111111111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2" manualBreakCount="2">
    <brk id="123" man="true" max="16383" min="0"/>
    <brk id="189" man="true" max="16383" min="0"/>
  </rowBreaks>
</worksheet>
</file>

<file path=xl/worksheets/sheet12.xml><?xml version="1.0" encoding="utf-8"?>
<worksheet xmlns="http://schemas.openxmlformats.org/spreadsheetml/2006/main" xmlns:r="http://schemas.openxmlformats.org/officeDocument/2006/relationships">
  <sheetPr filterMode="false">
    <tabColor rgb="FF77933C"/>
    <pageSetUpPr fitToPage="false"/>
  </sheetPr>
  <dimension ref="A1:F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9" activeCellId="0" sqref="A29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1.75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3" customFormat="false" ht="12.75" hidden="false" customHeight="false" outlineLevel="0" collapsed="false">
      <c r="A3" s="254" t="s">
        <v>188</v>
      </c>
      <c r="B3" s="254"/>
      <c r="C3" s="254"/>
      <c r="D3" s="254"/>
    </row>
    <row r="4" s="19" customFormat="true" ht="24.75" hidden="false" customHeight="true" outlineLevel="0" collapsed="false">
      <c r="A4" s="329" t="n">
        <v>1</v>
      </c>
      <c r="B4" s="330" t="s">
        <v>189</v>
      </c>
      <c r="C4" s="331" t="s">
        <v>437</v>
      </c>
      <c r="D4" s="331"/>
    </row>
    <row r="5" s="19" customFormat="true" ht="12.75" hidden="false" customHeight="true" outlineLevel="0" collapsed="false">
      <c r="A5" s="329" t="n">
        <v>2</v>
      </c>
      <c r="B5" s="330" t="s">
        <v>191</v>
      </c>
      <c r="C5" s="332" t="s">
        <v>24</v>
      </c>
      <c r="D5" s="332"/>
    </row>
    <row r="6" s="19" customFormat="true" ht="12.75" hidden="false" customHeight="false" outlineLevel="0" collapsed="false">
      <c r="A6" s="329" t="n">
        <v>3</v>
      </c>
      <c r="B6" s="330" t="s">
        <v>192</v>
      </c>
      <c r="C6" s="210"/>
      <c r="D6" s="210"/>
    </row>
    <row r="7" s="19" customFormat="true" ht="42.75" hidden="false" customHeight="true" outlineLevel="0" collapsed="false">
      <c r="A7" s="329" t="n">
        <v>4</v>
      </c>
      <c r="B7" s="330" t="s">
        <v>193</v>
      </c>
      <c r="C7" s="333" t="s">
        <v>194</v>
      </c>
      <c r="D7" s="333"/>
    </row>
    <row r="8" s="19" customFormat="true" ht="12.75" hidden="false" customHeight="false" outlineLevel="0" collapsed="false">
      <c r="A8" s="329" t="n">
        <v>5</v>
      </c>
      <c r="B8" s="330" t="s">
        <v>195</v>
      </c>
      <c r="C8" s="334" t="n">
        <v>42795</v>
      </c>
      <c r="D8" s="334"/>
    </row>
    <row r="9" customFormat="false" ht="12.75" hidden="false" customHeight="false" outlineLevel="0" collapsed="false">
      <c r="D9" s="335"/>
    </row>
    <row r="10" customFormat="false" ht="12.75" hidden="false" customHeight="false" outlineLevel="0" collapsed="false">
      <c r="A10" s="254" t="s">
        <v>196</v>
      </c>
      <c r="B10" s="254"/>
      <c r="C10" s="254"/>
      <c r="D10" s="254"/>
    </row>
    <row r="11" customFormat="false" ht="12.75" hidden="false" customHeight="false" outlineLevel="0" collapsed="false">
      <c r="A11" s="336" t="s">
        <v>438</v>
      </c>
      <c r="B11" s="216" t="s">
        <v>197</v>
      </c>
      <c r="C11" s="17" t="s">
        <v>198</v>
      </c>
      <c r="D11" s="217" t="s">
        <v>199</v>
      </c>
    </row>
    <row r="12" customFormat="false" ht="12.75" hidden="false" customHeight="false" outlineLevel="0" collapsed="false">
      <c r="A12" s="10" t="s">
        <v>14</v>
      </c>
      <c r="B12" s="10" t="s">
        <v>200</v>
      </c>
      <c r="C12" s="10"/>
      <c r="D12" s="29" t="n">
        <f aca="false">+C6</f>
        <v>0</v>
      </c>
    </row>
    <row r="13" customFormat="false" ht="12.75" hidden="false" customHeight="false" outlineLevel="0" collapsed="false">
      <c r="A13" s="10" t="s">
        <v>16</v>
      </c>
      <c r="B13" s="218" t="s">
        <v>201</v>
      </c>
      <c r="C13" s="219" t="n">
        <v>0.3</v>
      </c>
      <c r="D13" s="29" t="n">
        <f aca="false">+C13*D12</f>
        <v>0</v>
      </c>
      <c r="E13" s="103"/>
    </row>
    <row r="14" customFormat="false" ht="12.75" hidden="false" customHeight="false" outlineLevel="0" collapsed="false">
      <c r="A14" s="10" t="s">
        <v>19</v>
      </c>
      <c r="B14" s="218" t="s">
        <v>202</v>
      </c>
      <c r="C14" s="219"/>
      <c r="D14" s="29"/>
    </row>
    <row r="15" customFormat="false" ht="12.75" hidden="false" customHeight="false" outlineLevel="0" collapsed="false">
      <c r="A15" s="10" t="s">
        <v>21</v>
      </c>
      <c r="B15" s="10" t="s">
        <v>203</v>
      </c>
      <c r="C15" s="10"/>
      <c r="D15" s="29" t="n">
        <f aca="false">+'Calculo 12 36 Not Arm'!C66</f>
        <v>0</v>
      </c>
    </row>
    <row r="16" customFormat="false" ht="12.75" hidden="false" customHeight="false" outlineLevel="0" collapsed="false">
      <c r="A16" s="10" t="s">
        <v>204</v>
      </c>
      <c r="B16" s="10" t="s">
        <v>205</v>
      </c>
      <c r="C16" s="10"/>
      <c r="D16" s="29" t="n">
        <f aca="false">+'Calculo 12 36 Not Arm'!C98</f>
        <v>0</v>
      </c>
    </row>
    <row r="17" customFormat="false" ht="12.75" hidden="false" customHeight="false" outlineLevel="0" collapsed="false">
      <c r="A17" s="10" t="s">
        <v>206</v>
      </c>
      <c r="B17" s="10" t="s">
        <v>207</v>
      </c>
      <c r="C17" s="10"/>
      <c r="D17" s="29"/>
    </row>
    <row r="18" customFormat="false" ht="12.75" hidden="false" customHeight="false" outlineLevel="0" collapsed="false">
      <c r="A18" s="10" t="s">
        <v>208</v>
      </c>
      <c r="B18" s="10" t="s">
        <v>209</v>
      </c>
      <c r="C18" s="10"/>
      <c r="D18" s="29"/>
    </row>
    <row r="19" customFormat="false" ht="12.75" hidden="false" customHeight="false" outlineLevel="0" collapsed="false">
      <c r="A19" s="10" t="s">
        <v>210</v>
      </c>
      <c r="B19" s="10" t="s">
        <v>211</v>
      </c>
      <c r="C19" s="10"/>
      <c r="D19" s="29"/>
    </row>
    <row r="20" customFormat="false" ht="12.75" hidden="false" customHeight="false" outlineLevel="0" collapsed="false">
      <c r="A20" s="10" t="s">
        <v>212</v>
      </c>
      <c r="B20" s="218" t="s">
        <v>213</v>
      </c>
      <c r="C20" s="219"/>
      <c r="D20" s="29"/>
    </row>
    <row r="21" customFormat="false" ht="12.75" hidden="false" customHeight="false" outlineLevel="0" collapsed="false">
      <c r="A21" s="10" t="s">
        <v>214</v>
      </c>
      <c r="B21" s="10" t="s">
        <v>215</v>
      </c>
      <c r="C21" s="10"/>
      <c r="D21" s="78"/>
      <c r="F21" s="220"/>
    </row>
    <row r="22" customFormat="false" ht="12.75" hidden="false" customHeight="false" outlineLevel="0" collapsed="false">
      <c r="A22" s="10" t="s">
        <v>216</v>
      </c>
      <c r="B22" s="10" t="s">
        <v>217</v>
      </c>
      <c r="C22" s="10"/>
      <c r="D22" s="78"/>
    </row>
    <row r="23" customFormat="false" ht="12.75" hidden="false" customHeight="false" outlineLevel="0" collapsed="false">
      <c r="A23" s="205" t="s">
        <v>218</v>
      </c>
      <c r="B23" s="205"/>
      <c r="C23" s="205"/>
      <c r="D23" s="27" t="n">
        <f aca="false">SUM(D12:D22)</f>
        <v>0</v>
      </c>
    </row>
    <row r="25" customFormat="false" ht="12.75" hidden="false" customHeight="false" outlineLevel="0" collapsed="false">
      <c r="A25" s="254" t="s">
        <v>219</v>
      </c>
      <c r="B25" s="254"/>
      <c r="C25" s="254"/>
      <c r="D25" s="254"/>
    </row>
    <row r="27" customFormat="false" ht="12.75" hidden="false" customHeight="false" outlineLevel="0" collapsed="false">
      <c r="A27" s="254" t="s">
        <v>220</v>
      </c>
      <c r="B27" s="254"/>
      <c r="C27" s="254"/>
      <c r="D27" s="254"/>
    </row>
    <row r="28" customFormat="false" ht="12.75" hidden="false" customHeight="false" outlineLevel="0" collapsed="false">
      <c r="A28" s="221" t="s">
        <v>221</v>
      </c>
      <c r="B28" s="222" t="s">
        <v>222</v>
      </c>
      <c r="C28" s="223" t="s">
        <v>198</v>
      </c>
      <c r="D28" s="224" t="s">
        <v>199</v>
      </c>
    </row>
    <row r="29" customFormat="false" ht="12.75" hidden="false" customHeight="false" outlineLevel="0" collapsed="false">
      <c r="A29" s="10" t="s">
        <v>14</v>
      </c>
      <c r="B29" s="128" t="s">
        <v>223</v>
      </c>
      <c r="C29" s="225" t="e">
        <f aca="false">ROUND(+D29/$D$23,4)</f>
        <v>#DIV/0!</v>
      </c>
      <c r="D29" s="78" t="n">
        <f aca="false">ROUND(+D23/12,2)</f>
        <v>0</v>
      </c>
    </row>
    <row r="30" customFormat="false" ht="12.75" hidden="false" customHeight="false" outlineLevel="0" collapsed="false">
      <c r="A30" s="226" t="s">
        <v>16</v>
      </c>
      <c r="B30" s="227" t="s">
        <v>224</v>
      </c>
      <c r="C30" s="228" t="e">
        <f aca="false">ROUND(+D30/$D$23,4)</f>
        <v>#DIV/0!</v>
      </c>
      <c r="D30" s="229" t="n">
        <f aca="false">+D31+D32</f>
        <v>0</v>
      </c>
    </row>
    <row r="31" customFormat="false" ht="12.75" hidden="false" customHeight="false" outlineLevel="0" collapsed="false">
      <c r="A31" s="10" t="s">
        <v>225</v>
      </c>
      <c r="B31" s="230" t="s">
        <v>226</v>
      </c>
      <c r="C31" s="231" t="e">
        <f aca="false">ROUND(+D31/$D$23,4)</f>
        <v>#DIV/0!</v>
      </c>
      <c r="D31" s="232" t="n">
        <f aca="false">ROUND(+D23/12,2)</f>
        <v>0</v>
      </c>
    </row>
    <row r="32" customFormat="false" ht="12.75" hidden="false" customHeight="false" outlineLevel="0" collapsed="false">
      <c r="A32" s="10" t="s">
        <v>227</v>
      </c>
      <c r="B32" s="230" t="s">
        <v>228</v>
      </c>
      <c r="C32" s="231" t="e">
        <f aca="false">ROUND(+D32/$D$23,4)</f>
        <v>#DIV/0!</v>
      </c>
      <c r="D32" s="232" t="n">
        <f aca="false">ROUND(+(D23*1/3)/12,2)</f>
        <v>0</v>
      </c>
    </row>
    <row r="33" customFormat="false" ht="12.75" hidden="false" customHeight="false" outlineLevel="0" collapsed="false">
      <c r="A33" s="205" t="s">
        <v>218</v>
      </c>
      <c r="B33" s="205"/>
      <c r="C33" s="205"/>
      <c r="D33" s="27" t="n">
        <f aca="false">+D30+D29</f>
        <v>0</v>
      </c>
    </row>
    <row r="35" customFormat="false" ht="34.5" hidden="false" customHeight="true" outlineLevel="0" collapsed="false">
      <c r="A35" s="262" t="s">
        <v>229</v>
      </c>
      <c r="B35" s="262"/>
      <c r="C35" s="262"/>
      <c r="D35" s="262"/>
    </row>
    <row r="36" customFormat="false" ht="12.75" hidden="false" customHeight="false" outlineLevel="0" collapsed="false">
      <c r="A36" s="221" t="s">
        <v>230</v>
      </c>
      <c r="B36" s="234" t="s">
        <v>231</v>
      </c>
      <c r="C36" s="223" t="s">
        <v>198</v>
      </c>
      <c r="D36" s="224" t="s">
        <v>199</v>
      </c>
    </row>
    <row r="37" customFormat="false" ht="12.75" hidden="false" customHeight="false" outlineLevel="0" collapsed="false">
      <c r="A37" s="10" t="s">
        <v>14</v>
      </c>
      <c r="B37" s="128" t="s">
        <v>232</v>
      </c>
      <c r="C37" s="225" t="n">
        <v>0.2</v>
      </c>
      <c r="D37" s="129" t="n">
        <f aca="false">ROUND(C37*($D$23+$D$33),2)</f>
        <v>0</v>
      </c>
    </row>
    <row r="38" customFormat="false" ht="12.75" hidden="false" customHeight="false" outlineLevel="0" collapsed="false">
      <c r="A38" s="10" t="s">
        <v>16</v>
      </c>
      <c r="B38" s="128" t="s">
        <v>233</v>
      </c>
      <c r="C38" s="225" t="n">
        <v>0.025</v>
      </c>
      <c r="D38" s="129" t="n">
        <f aca="false">ROUND(C38*($D$23+$D$33),2)</f>
        <v>0</v>
      </c>
    </row>
    <row r="39" customFormat="false" ht="12.75" hidden="false" customHeight="false" outlineLevel="0" collapsed="false">
      <c r="A39" s="10" t="s">
        <v>19</v>
      </c>
      <c r="B39" s="128" t="s">
        <v>234</v>
      </c>
      <c r="C39" s="225" t="n">
        <f aca="false">3%</f>
        <v>0.03</v>
      </c>
      <c r="D39" s="129" t="n">
        <f aca="false">ROUND(C39*($D$23+$D$33),2)</f>
        <v>0</v>
      </c>
    </row>
    <row r="40" customFormat="false" ht="12.75" hidden="false" customHeight="false" outlineLevel="0" collapsed="false">
      <c r="A40" s="10" t="s">
        <v>21</v>
      </c>
      <c r="B40" s="128" t="s">
        <v>235</v>
      </c>
      <c r="C40" s="225" t="n">
        <v>0.015</v>
      </c>
      <c r="D40" s="129" t="n">
        <f aca="false">ROUND(C40*($D$23+$D$33),2)</f>
        <v>0</v>
      </c>
    </row>
    <row r="41" customFormat="false" ht="12.75" hidden="false" customHeight="false" outlineLevel="0" collapsed="false">
      <c r="A41" s="10" t="s">
        <v>204</v>
      </c>
      <c r="B41" s="128" t="s">
        <v>236</v>
      </c>
      <c r="C41" s="225" t="n">
        <v>0.01</v>
      </c>
      <c r="D41" s="129" t="n">
        <f aca="false">ROUND(C41*($D$23+$D$33),2)</f>
        <v>0</v>
      </c>
    </row>
    <row r="42" customFormat="false" ht="12.75" hidden="false" customHeight="false" outlineLevel="0" collapsed="false">
      <c r="A42" s="10" t="s">
        <v>206</v>
      </c>
      <c r="B42" s="128" t="s">
        <v>237</v>
      </c>
      <c r="C42" s="225" t="n">
        <v>0.006</v>
      </c>
      <c r="D42" s="129" t="n">
        <f aca="false">ROUND(C42*($D$23+$D$33),2)</f>
        <v>0</v>
      </c>
    </row>
    <row r="43" customFormat="false" ht="12.75" hidden="false" customHeight="false" outlineLevel="0" collapsed="false">
      <c r="A43" s="10" t="s">
        <v>208</v>
      </c>
      <c r="B43" s="128" t="s">
        <v>238</v>
      </c>
      <c r="C43" s="225" t="n">
        <v>0.002</v>
      </c>
      <c r="D43" s="129" t="n">
        <f aca="false">ROUND(C43*($D$23+$D$33),2)</f>
        <v>0</v>
      </c>
    </row>
    <row r="44" customFormat="false" ht="12.75" hidden="false" customHeight="false" outlineLevel="0" collapsed="false">
      <c r="A44" s="10" t="s">
        <v>210</v>
      </c>
      <c r="B44" s="128" t="s">
        <v>239</v>
      </c>
      <c r="C44" s="225" t="n">
        <v>0.08</v>
      </c>
      <c r="D44" s="129" t="n">
        <f aca="false">ROUND(C44*($D$23+$D$33),2)</f>
        <v>0</v>
      </c>
    </row>
    <row r="45" customFormat="false" ht="12.75" hidden="false" customHeight="false" outlineLevel="0" collapsed="false">
      <c r="A45" s="235" t="s">
        <v>218</v>
      </c>
      <c r="B45" s="236"/>
      <c r="C45" s="237" t="n">
        <f aca="false">SUM(C37:C44)</f>
        <v>0.368</v>
      </c>
      <c r="D45" s="238" t="n">
        <f aca="false">SUM(D37:D44)</f>
        <v>0</v>
      </c>
    </row>
    <row r="46" customFormat="false" ht="12.75" hidden="false" customHeight="false" outlineLevel="0" collapsed="false">
      <c r="A46" s="239"/>
      <c r="B46" s="239"/>
      <c r="C46" s="239"/>
      <c r="D46" s="239"/>
    </row>
    <row r="47" customFormat="false" ht="12.75" hidden="false" customHeight="true" outlineLevel="0" collapsed="false">
      <c r="A47" s="262" t="s">
        <v>240</v>
      </c>
      <c r="B47" s="262"/>
      <c r="C47" s="262"/>
      <c r="D47" s="262"/>
    </row>
    <row r="48" customFormat="false" ht="12.75" hidden="false" customHeight="false" outlineLevel="0" collapsed="false">
      <c r="A48" s="221" t="s">
        <v>241</v>
      </c>
      <c r="B48" s="234" t="s">
        <v>242</v>
      </c>
      <c r="C48" s="223"/>
      <c r="D48" s="224" t="s">
        <v>199</v>
      </c>
    </row>
    <row r="49" customFormat="false" ht="12.75" hidden="false" customHeight="false" outlineLevel="0" collapsed="false">
      <c r="A49" s="240" t="s">
        <v>14</v>
      </c>
      <c r="B49" s="128" t="s">
        <v>243</v>
      </c>
      <c r="C49" s="241"/>
      <c r="D49" s="129" t="n">
        <f aca="false">+'Calculo 12 36 Not Arm'!C107</f>
        <v>0</v>
      </c>
    </row>
    <row r="50" s="34" customFormat="true" ht="12.75" hidden="false" customHeight="false" outlineLevel="0" collapsed="false">
      <c r="A50" s="242" t="s">
        <v>244</v>
      </c>
      <c r="B50" s="110" t="s">
        <v>245</v>
      </c>
      <c r="C50" s="225" t="n">
        <f aca="false">+$C$135+$C$136</f>
        <v>0.0365</v>
      </c>
      <c r="D50" s="243" t="n">
        <f aca="false">+(C50*D49)*-1</f>
        <v>0</v>
      </c>
      <c r="F50" s="116"/>
    </row>
    <row r="51" customFormat="false" ht="12.75" hidden="false" customHeight="false" outlineLevel="0" collapsed="false">
      <c r="A51" s="240" t="s">
        <v>16</v>
      </c>
      <c r="B51" s="128" t="s">
        <v>246</v>
      </c>
      <c r="C51" s="241"/>
      <c r="D51" s="129" t="n">
        <f aca="false">+'Calculo 12 36 Not Arm'!C116</f>
        <v>0</v>
      </c>
      <c r="F51" s="244"/>
    </row>
    <row r="52" s="34" customFormat="true" ht="12.75" hidden="false" customHeight="false" outlineLevel="0" collapsed="false">
      <c r="A52" s="242" t="s">
        <v>225</v>
      </c>
      <c r="B52" s="110" t="s">
        <v>245</v>
      </c>
      <c r="C52" s="225" t="n">
        <f aca="false">+$C$135+$C$136</f>
        <v>0.0365</v>
      </c>
      <c r="D52" s="243" t="n">
        <f aca="false">+(C52*D51)*-1</f>
        <v>0</v>
      </c>
      <c r="F52" s="245"/>
    </row>
    <row r="53" customFormat="false" ht="12.75" hidden="false" customHeight="false" outlineLevel="0" collapsed="false">
      <c r="A53" s="128" t="s">
        <v>19</v>
      </c>
      <c r="B53" s="128" t="s">
        <v>247</v>
      </c>
      <c r="C53" s="241"/>
      <c r="D53" s="129"/>
      <c r="F53" s="244"/>
    </row>
    <row r="54" customFormat="false" ht="12.75" hidden="false" customHeight="false" outlineLevel="0" collapsed="false">
      <c r="A54" s="242" t="s">
        <v>248</v>
      </c>
      <c r="B54" s="110" t="s">
        <v>245</v>
      </c>
      <c r="C54" s="225" t="n">
        <f aca="false">+$C$135+$C$136</f>
        <v>0.0365</v>
      </c>
      <c r="D54" s="243" t="n">
        <f aca="false">+(C54*D53)*-1</f>
        <v>0</v>
      </c>
      <c r="F54" s="244"/>
    </row>
    <row r="55" customFormat="false" ht="12.75" hidden="false" customHeight="false" outlineLevel="0" collapsed="false">
      <c r="A55" s="246" t="s">
        <v>21</v>
      </c>
      <c r="B55" s="246" t="s">
        <v>249</v>
      </c>
      <c r="C55" s="241"/>
      <c r="D55" s="247"/>
      <c r="F55" s="244"/>
    </row>
    <row r="56" customFormat="false" ht="12.75" hidden="false" customHeight="false" outlineLevel="0" collapsed="false">
      <c r="A56" s="242" t="s">
        <v>250</v>
      </c>
      <c r="B56" s="110" t="s">
        <v>245</v>
      </c>
      <c r="C56" s="225" t="n">
        <f aca="false">+$C$135+$C$136</f>
        <v>0.0365</v>
      </c>
      <c r="D56" s="243" t="n">
        <f aca="false">+(C56*D55)*-1</f>
        <v>0</v>
      </c>
      <c r="F56" s="244"/>
    </row>
    <row r="57" customFormat="false" ht="12.75" hidden="false" customHeight="false" outlineLevel="0" collapsed="false">
      <c r="A57" s="246" t="s">
        <v>204</v>
      </c>
      <c r="B57" s="246" t="s">
        <v>251</v>
      </c>
      <c r="C57" s="241"/>
      <c r="D57" s="248"/>
      <c r="F57" s="337"/>
    </row>
    <row r="58" customFormat="false" ht="12.75" hidden="false" customHeight="false" outlineLevel="0" collapsed="false">
      <c r="A58" s="242" t="s">
        <v>252</v>
      </c>
      <c r="B58" s="110" t="s">
        <v>245</v>
      </c>
      <c r="C58" s="225" t="n">
        <f aca="false">+$C$135+$C$136</f>
        <v>0.0365</v>
      </c>
      <c r="D58" s="243" t="n">
        <f aca="false">+(C58*D57)*-1</f>
        <v>0</v>
      </c>
    </row>
    <row r="59" customFormat="false" ht="12.75" hidden="false" customHeight="false" outlineLevel="0" collapsed="false">
      <c r="A59" s="246" t="s">
        <v>206</v>
      </c>
      <c r="B59" s="250" t="s">
        <v>253</v>
      </c>
      <c r="C59" s="250"/>
      <c r="D59" s="247"/>
    </row>
    <row r="60" customFormat="false" ht="12.75" hidden="false" customHeight="false" outlineLevel="0" collapsed="false">
      <c r="A60" s="242" t="s">
        <v>254</v>
      </c>
      <c r="B60" s="110" t="s">
        <v>245</v>
      </c>
      <c r="C60" s="225" t="n">
        <f aca="false">+$C$135+$C$136</f>
        <v>0.0365</v>
      </c>
      <c r="D60" s="243" t="n">
        <f aca="false">+(C60*D59)*-1</f>
        <v>0</v>
      </c>
    </row>
    <row r="61" customFormat="false" ht="12.75" hidden="false" customHeight="false" outlineLevel="0" collapsed="false">
      <c r="A61" s="205" t="s">
        <v>218</v>
      </c>
      <c r="B61" s="205"/>
      <c r="C61" s="251"/>
      <c r="D61" s="338" t="n">
        <f aca="false">SUM(D49:D60)</f>
        <v>0</v>
      </c>
    </row>
    <row r="63" customFormat="false" ht="12.75" hidden="false" customHeight="false" outlineLevel="0" collapsed="false">
      <c r="A63" s="254" t="s">
        <v>255</v>
      </c>
      <c r="B63" s="254"/>
      <c r="C63" s="254"/>
      <c r="D63" s="254"/>
    </row>
    <row r="64" customFormat="false" ht="12.75" hidden="false" customHeight="false" outlineLevel="0" collapsed="false">
      <c r="A64" s="253" t="n">
        <v>2</v>
      </c>
      <c r="B64" s="254" t="s">
        <v>256</v>
      </c>
      <c r="C64" s="254"/>
      <c r="D64" s="255" t="s">
        <v>199</v>
      </c>
    </row>
    <row r="65" customFormat="false" ht="12.75" hidden="false" customHeight="false" outlineLevel="0" collapsed="false">
      <c r="A65" s="76" t="s">
        <v>221</v>
      </c>
      <c r="B65" s="256" t="s">
        <v>222</v>
      </c>
      <c r="C65" s="256"/>
      <c r="D65" s="129" t="n">
        <f aca="false">+D33</f>
        <v>0</v>
      </c>
    </row>
    <row r="66" customFormat="false" ht="12.75" hidden="false" customHeight="false" outlineLevel="0" collapsed="false">
      <c r="A66" s="76" t="s">
        <v>230</v>
      </c>
      <c r="B66" s="256" t="s">
        <v>231</v>
      </c>
      <c r="C66" s="256"/>
      <c r="D66" s="129" t="n">
        <f aca="false">+D45</f>
        <v>0</v>
      </c>
    </row>
    <row r="67" customFormat="false" ht="12.75" hidden="false" customHeight="false" outlineLevel="0" collapsed="false">
      <c r="A67" s="76" t="s">
        <v>241</v>
      </c>
      <c r="B67" s="256" t="s">
        <v>242</v>
      </c>
      <c r="C67" s="256"/>
      <c r="D67" s="257" t="n">
        <f aca="false">+D61</f>
        <v>0</v>
      </c>
    </row>
    <row r="68" customFormat="false" ht="12.75" hidden="false" customHeight="false" outlineLevel="0" collapsed="false">
      <c r="A68" s="254" t="s">
        <v>218</v>
      </c>
      <c r="B68" s="254"/>
      <c r="C68" s="254"/>
      <c r="D68" s="258" t="n">
        <f aca="false">SUM(D65:D67)</f>
        <v>0</v>
      </c>
    </row>
    <row r="70" customFormat="false" ht="12.75" hidden="false" customHeight="false" outlineLevel="0" collapsed="false">
      <c r="A70" s="254" t="s">
        <v>257</v>
      </c>
      <c r="B70" s="254"/>
      <c r="C70" s="254"/>
      <c r="D70" s="254"/>
    </row>
    <row r="72" customFormat="false" ht="12.75" hidden="false" customHeight="false" outlineLevel="0" collapsed="false">
      <c r="A72" s="25" t="n">
        <v>3</v>
      </c>
      <c r="B72" s="222" t="s">
        <v>258</v>
      </c>
      <c r="C72" s="17" t="s">
        <v>198</v>
      </c>
      <c r="D72" s="17" t="s">
        <v>199</v>
      </c>
    </row>
    <row r="73" customFormat="false" ht="12.75" hidden="false" customHeight="false" outlineLevel="0" collapsed="false">
      <c r="A73" s="10" t="s">
        <v>14</v>
      </c>
      <c r="B73" s="110" t="s">
        <v>259</v>
      </c>
      <c r="C73" s="225" t="e">
        <f aca="false">+D73/$D$23</f>
        <v>#DIV/0!</v>
      </c>
      <c r="D73" s="259" t="n">
        <f aca="false">+'Calculo 12 36 Not Arm'!C122</f>
        <v>0</v>
      </c>
    </row>
    <row r="74" customFormat="false" ht="12.75" hidden="false" customHeight="false" outlineLevel="0" collapsed="false">
      <c r="A74" s="10" t="s">
        <v>16</v>
      </c>
      <c r="B74" s="128" t="s">
        <v>260</v>
      </c>
      <c r="C74" s="260"/>
      <c r="D74" s="78" t="n">
        <f aca="false">ROUND(+D73*$C$44,2)</f>
        <v>0</v>
      </c>
    </row>
    <row r="75" customFormat="false" ht="25.5" hidden="false" customHeight="false" outlineLevel="0" collapsed="false">
      <c r="A75" s="10" t="s">
        <v>19</v>
      </c>
      <c r="B75" s="261" t="s">
        <v>261</v>
      </c>
      <c r="C75" s="225" t="e">
        <f aca="false">+D75/$D$23</f>
        <v>#DIV/0!</v>
      </c>
      <c r="D75" s="78" t="n">
        <f aca="false">+'Calculo 12 36 Not Arm'!C136</f>
        <v>0</v>
      </c>
    </row>
    <row r="76" customFormat="false" ht="12.75" hidden="false" customHeight="false" outlineLevel="0" collapsed="false">
      <c r="A76" s="256" t="s">
        <v>21</v>
      </c>
      <c r="B76" s="128" t="s">
        <v>262</v>
      </c>
      <c r="C76" s="225" t="e">
        <f aca="false">+D76/$D$23</f>
        <v>#DIV/0!</v>
      </c>
      <c r="D76" s="78" t="n">
        <f aca="false">+'Calculo 12 36 Not Arm'!C144</f>
        <v>0</v>
      </c>
    </row>
    <row r="77" customFormat="false" ht="25.5" hidden="false" customHeight="false" outlineLevel="0" collapsed="false">
      <c r="A77" s="256" t="s">
        <v>204</v>
      </c>
      <c r="B77" s="261" t="s">
        <v>263</v>
      </c>
      <c r="C77" s="260"/>
      <c r="D77" s="78" t="n">
        <f aca="false">+D76*C45</f>
        <v>0</v>
      </c>
    </row>
    <row r="78" customFormat="false" ht="25.5" hidden="false" customHeight="false" outlineLevel="0" collapsed="false">
      <c r="A78" s="256" t="s">
        <v>206</v>
      </c>
      <c r="B78" s="261" t="s">
        <v>264</v>
      </c>
      <c r="C78" s="225" t="e">
        <f aca="false">+D78/$D$23</f>
        <v>#DIV/0!</v>
      </c>
      <c r="D78" s="129" t="n">
        <f aca="false">+'Calculo 12 36 Not Arm'!C158</f>
        <v>0</v>
      </c>
    </row>
    <row r="79" customFormat="false" ht="12.75" hidden="false" customHeight="false" outlineLevel="0" collapsed="false">
      <c r="A79" s="205" t="s">
        <v>218</v>
      </c>
      <c r="B79" s="205"/>
      <c r="C79" s="205"/>
      <c r="D79" s="26" t="n">
        <f aca="false">SUM(D73:D78)</f>
        <v>0</v>
      </c>
    </row>
    <row r="81" customFormat="false" ht="12.75" hidden="false" customHeight="false" outlineLevel="0" collapsed="false">
      <c r="A81" s="254" t="s">
        <v>265</v>
      </c>
      <c r="B81" s="254"/>
      <c r="C81" s="254"/>
      <c r="D81" s="254"/>
    </row>
    <row r="83" customFormat="false" ht="12.75" hidden="false" customHeight="true" outlineLevel="0" collapsed="false">
      <c r="A83" s="262" t="s">
        <v>266</v>
      </c>
      <c r="B83" s="262"/>
      <c r="C83" s="262"/>
      <c r="D83" s="262"/>
    </row>
    <row r="84" customFormat="false" ht="12.75" hidden="false" customHeight="false" outlineLevel="0" collapsed="false">
      <c r="A84" s="25" t="s">
        <v>267</v>
      </c>
      <c r="B84" s="205" t="s">
        <v>268</v>
      </c>
      <c r="C84" s="205"/>
      <c r="D84" s="17" t="s">
        <v>199</v>
      </c>
    </row>
    <row r="85" customFormat="false" ht="12.75" hidden="false" customHeight="false" outlineLevel="0" collapsed="false">
      <c r="A85" s="128" t="s">
        <v>14</v>
      </c>
      <c r="B85" s="263" t="s">
        <v>269</v>
      </c>
      <c r="C85" s="263"/>
      <c r="D85" s="78"/>
    </row>
    <row r="86" customFormat="false" ht="12.75" hidden="false" customHeight="false" outlineLevel="0" collapsed="false">
      <c r="A86" s="110" t="s">
        <v>16</v>
      </c>
      <c r="B86" s="264" t="s">
        <v>268</v>
      </c>
      <c r="C86" s="264"/>
      <c r="D86" s="78" t="n">
        <f aca="false">+'Calculo 12 36 Not Arm'!C171</f>
        <v>0</v>
      </c>
    </row>
    <row r="87" s="34" customFormat="true" ht="12.75" hidden="false" customHeight="false" outlineLevel="0" collapsed="false">
      <c r="A87" s="110" t="s">
        <v>19</v>
      </c>
      <c r="B87" s="264" t="s">
        <v>270</v>
      </c>
      <c r="C87" s="264"/>
      <c r="D87" s="78" t="n">
        <f aca="false">+'Calculo 12 36 Not Arm'!C180</f>
        <v>0</v>
      </c>
    </row>
    <row r="88" s="34" customFormat="true" ht="12.75" hidden="false" customHeight="false" outlineLevel="0" collapsed="false">
      <c r="A88" s="110" t="s">
        <v>21</v>
      </c>
      <c r="B88" s="264" t="s">
        <v>271</v>
      </c>
      <c r="C88" s="264"/>
      <c r="D88" s="78" t="n">
        <f aca="false">+'Calculo 12 36 Not Arm'!C188</f>
        <v>0</v>
      </c>
    </row>
    <row r="89" s="34" customFormat="true" ht="13.5" hidden="false" customHeight="false" outlineLevel="0" collapsed="false">
      <c r="A89" s="110" t="s">
        <v>204</v>
      </c>
      <c r="B89" s="264" t="s">
        <v>272</v>
      </c>
      <c r="C89" s="264"/>
      <c r="D89" s="78"/>
    </row>
    <row r="90" s="34" customFormat="true" ht="12.75" hidden="false" customHeight="false" outlineLevel="0" collapsed="false">
      <c r="A90" s="110" t="s">
        <v>206</v>
      </c>
      <c r="B90" s="264" t="s">
        <v>273</v>
      </c>
      <c r="C90" s="264"/>
      <c r="D90" s="78" t="n">
        <f aca="false">+'Calculo 12 36 Not Arm'!C196</f>
        <v>0</v>
      </c>
    </row>
    <row r="91" customFormat="false" ht="12.75" hidden="false" customHeight="false" outlineLevel="0" collapsed="false">
      <c r="A91" s="128" t="s">
        <v>208</v>
      </c>
      <c r="B91" s="263" t="s">
        <v>217</v>
      </c>
      <c r="C91" s="263"/>
      <c r="D91" s="78"/>
    </row>
    <row r="92" customFormat="false" ht="12.75" hidden="false" customHeight="false" outlineLevel="0" collapsed="false">
      <c r="A92" s="128" t="s">
        <v>210</v>
      </c>
      <c r="B92" s="263" t="s">
        <v>274</v>
      </c>
      <c r="C92" s="263"/>
      <c r="D92" s="78" t="n">
        <f aca="false">ROUND((D86+D87+D88+D85+D89+D90+D91)*C45,2)</f>
        <v>0</v>
      </c>
    </row>
    <row r="93" customFormat="false" ht="12.75" hidden="false" customHeight="false" outlineLevel="0" collapsed="false">
      <c r="A93" s="205" t="s">
        <v>218</v>
      </c>
      <c r="B93" s="205"/>
      <c r="C93" s="205"/>
      <c r="D93" s="27" t="n">
        <f aca="false">SUM(D85:D92)</f>
        <v>0</v>
      </c>
    </row>
    <row r="94" customFormat="false" ht="12.75" hidden="false" customHeight="false" outlineLevel="0" collapsed="false">
      <c r="D94" s="245"/>
    </row>
    <row r="95" customFormat="false" ht="12.75" hidden="false" customHeight="false" outlineLevel="0" collapsed="false">
      <c r="A95" s="25" t="s">
        <v>275</v>
      </c>
      <c r="B95" s="205" t="s">
        <v>276</v>
      </c>
      <c r="C95" s="205"/>
      <c r="D95" s="17" t="s">
        <v>199</v>
      </c>
    </row>
    <row r="96" s="34" customFormat="true" ht="12.75" hidden="false" customHeight="false" outlineLevel="0" collapsed="false">
      <c r="A96" s="110" t="s">
        <v>14</v>
      </c>
      <c r="B96" s="256" t="s">
        <v>277</v>
      </c>
      <c r="C96" s="256"/>
      <c r="D96" s="78" t="n">
        <f aca="false">+'Calculo 12 36 Not Arm'!C220</f>
        <v>0</v>
      </c>
    </row>
    <row r="97" s="34" customFormat="true" ht="24.75" hidden="false" customHeight="true" outlineLevel="0" collapsed="false">
      <c r="A97" s="110" t="s">
        <v>16</v>
      </c>
      <c r="B97" s="265" t="s">
        <v>278</v>
      </c>
      <c r="C97" s="265"/>
      <c r="D97" s="78" t="n">
        <f aca="false">ROUND(D96*C45,2)</f>
        <v>0</v>
      </c>
    </row>
    <row r="98" s="34" customFormat="true" ht="25.5" hidden="false" customHeight="true" outlineLevel="0" collapsed="false">
      <c r="A98" s="110" t="s">
        <v>19</v>
      </c>
      <c r="B98" s="265" t="s">
        <v>279</v>
      </c>
      <c r="C98" s="265"/>
      <c r="D98" s="78" t="n">
        <f aca="false">+'Calculo 12 36 Not Arm'!C230</f>
        <v>0</v>
      </c>
    </row>
    <row r="99" customFormat="false" ht="12.75" hidden="false" customHeight="false" outlineLevel="0" collapsed="false">
      <c r="A99" s="128" t="s">
        <v>21</v>
      </c>
      <c r="B99" s="263" t="s">
        <v>217</v>
      </c>
      <c r="C99" s="263"/>
      <c r="D99" s="78"/>
    </row>
    <row r="100" customFormat="false" ht="12.75" hidden="false" customHeight="false" outlineLevel="0" collapsed="false">
      <c r="A100" s="205" t="s">
        <v>218</v>
      </c>
      <c r="B100" s="205"/>
      <c r="C100" s="205"/>
      <c r="D100" s="27" t="n">
        <f aca="false">SUM(D96:D99)</f>
        <v>0</v>
      </c>
    </row>
    <row r="101" customFormat="false" ht="12.75" hidden="false" customHeight="false" outlineLevel="0" collapsed="false">
      <c r="D101" s="245"/>
    </row>
    <row r="102" customFormat="false" ht="12.75" hidden="false" customHeight="false" outlineLevel="0" collapsed="false">
      <c r="A102" s="25" t="s">
        <v>280</v>
      </c>
      <c r="B102" s="205" t="s">
        <v>281</v>
      </c>
      <c r="C102" s="205"/>
      <c r="D102" s="17" t="s">
        <v>199</v>
      </c>
    </row>
    <row r="103" s="267" customFormat="true" ht="39.75" hidden="false" customHeight="true" outlineLevel="0" collapsed="false">
      <c r="A103" s="256" t="s">
        <v>14</v>
      </c>
      <c r="B103" s="265" t="s">
        <v>282</v>
      </c>
      <c r="C103" s="265"/>
      <c r="D103" s="266" t="n">
        <f aca="false">+'Calculo 12 36 Not Arm'!C209</f>
        <v>0</v>
      </c>
    </row>
    <row r="104" customFormat="false" ht="12.75" hidden="false" customHeight="false" outlineLevel="0" collapsed="false">
      <c r="A104" s="205" t="s">
        <v>218</v>
      </c>
      <c r="B104" s="205"/>
      <c r="C104" s="205"/>
      <c r="D104" s="27" t="n">
        <f aca="false">SUM(D103:D103)</f>
        <v>0</v>
      </c>
    </row>
    <row r="106" customFormat="false" ht="12.75" hidden="false" customHeight="false" outlineLevel="0" collapsed="false">
      <c r="A106" s="268" t="s">
        <v>283</v>
      </c>
      <c r="B106" s="268"/>
      <c r="C106" s="268"/>
      <c r="D106" s="268"/>
    </row>
    <row r="107" customFormat="false" ht="12.75" hidden="false" customHeight="false" outlineLevel="0" collapsed="false">
      <c r="A107" s="128" t="s">
        <v>267</v>
      </c>
      <c r="B107" s="263" t="s">
        <v>268</v>
      </c>
      <c r="C107" s="263"/>
      <c r="D107" s="129" t="n">
        <f aca="false">+D93</f>
        <v>0</v>
      </c>
    </row>
    <row r="108" customFormat="false" ht="12.75" hidden="false" customHeight="false" outlineLevel="0" collapsed="false">
      <c r="A108" s="128" t="s">
        <v>275</v>
      </c>
      <c r="B108" s="263" t="s">
        <v>276</v>
      </c>
      <c r="C108" s="263"/>
      <c r="D108" s="129" t="n">
        <f aca="false">+D100</f>
        <v>0</v>
      </c>
    </row>
    <row r="109" customFormat="false" ht="12.75" hidden="false" customHeight="false" outlineLevel="0" collapsed="false">
      <c r="A109" s="269"/>
      <c r="B109" s="270" t="s">
        <v>284</v>
      </c>
      <c r="C109" s="270"/>
      <c r="D109" s="271" t="n">
        <f aca="false">+D108+D107</f>
        <v>0</v>
      </c>
    </row>
    <row r="110" customFormat="false" ht="12.75" hidden="false" customHeight="false" outlineLevel="0" collapsed="false">
      <c r="A110" s="128" t="s">
        <v>280</v>
      </c>
      <c r="B110" s="263" t="s">
        <v>281</v>
      </c>
      <c r="C110" s="263"/>
      <c r="D110" s="129" t="n">
        <f aca="false">+D104</f>
        <v>0</v>
      </c>
    </row>
    <row r="111" customFormat="false" ht="12.75" hidden="false" customHeight="false" outlineLevel="0" collapsed="false">
      <c r="A111" s="268" t="s">
        <v>218</v>
      </c>
      <c r="B111" s="268"/>
      <c r="C111" s="268"/>
      <c r="D111" s="272" t="n">
        <f aca="false">+D110+D109</f>
        <v>0</v>
      </c>
    </row>
    <row r="113" customFormat="false" ht="12.75" hidden="false" customHeight="false" outlineLevel="0" collapsed="false">
      <c r="A113" s="254" t="s">
        <v>285</v>
      </c>
      <c r="B113" s="254"/>
      <c r="C113" s="254"/>
      <c r="D113" s="254"/>
    </row>
    <row r="115" customFormat="false" ht="12.75" hidden="false" customHeight="false" outlineLevel="0" collapsed="false">
      <c r="A115" s="25" t="n">
        <v>5</v>
      </c>
      <c r="B115" s="205" t="s">
        <v>286</v>
      </c>
      <c r="C115" s="205"/>
      <c r="D115" s="17" t="s">
        <v>199</v>
      </c>
    </row>
    <row r="116" customFormat="false" ht="12.75" hidden="false" customHeight="false" outlineLevel="0" collapsed="false">
      <c r="A116" s="128" t="s">
        <v>14</v>
      </c>
      <c r="B116" s="10" t="s">
        <v>287</v>
      </c>
      <c r="C116" s="10"/>
      <c r="D116" s="78" t="n">
        <f aca="false">+Uniforme!G47</f>
        <v>0</v>
      </c>
    </row>
    <row r="117" customFormat="false" ht="12.75" hidden="false" customHeight="false" outlineLevel="0" collapsed="false">
      <c r="A117" s="128" t="s">
        <v>244</v>
      </c>
      <c r="B117" s="110" t="s">
        <v>245</v>
      </c>
      <c r="C117" s="225" t="n">
        <f aca="false">+$C$135+$C$136</f>
        <v>0.0365</v>
      </c>
      <c r="D117" s="243" t="n">
        <f aca="false">+(C117*D116)*-1</f>
        <v>0</v>
      </c>
    </row>
    <row r="118" customFormat="false" ht="12.75" hidden="false" customHeight="false" outlineLevel="0" collapsed="false">
      <c r="A118" s="128" t="s">
        <v>16</v>
      </c>
      <c r="B118" s="10" t="s">
        <v>288</v>
      </c>
      <c r="C118" s="10"/>
      <c r="D118" s="78"/>
    </row>
    <row r="119" customFormat="false" ht="12.75" hidden="false" customHeight="false" outlineLevel="0" collapsed="false">
      <c r="A119" s="128" t="s">
        <v>225</v>
      </c>
      <c r="B119" s="110" t="s">
        <v>245</v>
      </c>
      <c r="C119" s="225" t="n">
        <f aca="false">+$C$135+$C$136</f>
        <v>0.0365</v>
      </c>
      <c r="D119" s="243" t="n">
        <f aca="false">+(C119*D118)*-1</f>
        <v>0</v>
      </c>
    </row>
    <row r="120" customFormat="false" ht="12.75" hidden="false" customHeight="false" outlineLevel="0" collapsed="false">
      <c r="A120" s="128" t="s">
        <v>19</v>
      </c>
      <c r="B120" s="10" t="s">
        <v>289</v>
      </c>
      <c r="C120" s="10"/>
      <c r="D120" s="78" t="n">
        <f aca="false">+Uniforme!F63</f>
        <v>0</v>
      </c>
    </row>
    <row r="121" customFormat="false" ht="12.75" hidden="false" customHeight="false" outlineLevel="0" collapsed="false">
      <c r="A121" s="128" t="s">
        <v>248</v>
      </c>
      <c r="B121" s="110" t="s">
        <v>245</v>
      </c>
      <c r="C121" s="225" t="n">
        <f aca="false">+$C$135+$C$136</f>
        <v>0.0365</v>
      </c>
      <c r="D121" s="243" t="n">
        <f aca="false">+(C121*D120)*-1</f>
        <v>0</v>
      </c>
    </row>
    <row r="122" customFormat="false" ht="12.75" hidden="false" customHeight="false" outlineLevel="0" collapsed="false">
      <c r="A122" s="128" t="s">
        <v>21</v>
      </c>
      <c r="B122" s="10" t="s">
        <v>217</v>
      </c>
      <c r="C122" s="10"/>
      <c r="D122" s="78"/>
    </row>
    <row r="123" customFormat="false" ht="12.75" hidden="false" customHeight="false" outlineLevel="0" collapsed="false">
      <c r="A123" s="128" t="s">
        <v>250</v>
      </c>
      <c r="B123" s="110" t="s">
        <v>245</v>
      </c>
      <c r="C123" s="225" t="n">
        <f aca="false">+$C$135+$C$136</f>
        <v>0.0365</v>
      </c>
      <c r="D123" s="243" t="n">
        <f aca="false">+(C123*D122)*-1</f>
        <v>0</v>
      </c>
    </row>
    <row r="124" customFormat="false" ht="12.75" hidden="false" customHeight="false" outlineLevel="0" collapsed="false">
      <c r="A124" s="205" t="s">
        <v>218</v>
      </c>
      <c r="B124" s="205"/>
      <c r="C124" s="205"/>
      <c r="D124" s="27" t="n">
        <f aca="false">SUM(D116:D122)</f>
        <v>0</v>
      </c>
    </row>
    <row r="126" customFormat="false" ht="12.75" hidden="false" customHeight="false" outlineLevel="0" collapsed="false">
      <c r="A126" s="254" t="s">
        <v>290</v>
      </c>
      <c r="B126" s="254"/>
      <c r="C126" s="254"/>
      <c r="D126" s="254"/>
    </row>
    <row r="128" customFormat="false" ht="12.75" hidden="false" customHeight="false" outlineLevel="0" collapsed="false">
      <c r="A128" s="25" t="n">
        <v>6</v>
      </c>
      <c r="B128" s="222" t="s">
        <v>291</v>
      </c>
      <c r="C128" s="273" t="s">
        <v>198</v>
      </c>
      <c r="D128" s="17" t="s">
        <v>199</v>
      </c>
    </row>
    <row r="129" customFormat="false" ht="12.75" hidden="false" customHeight="false" outlineLevel="0" collapsed="false">
      <c r="A129" s="246" t="s">
        <v>14</v>
      </c>
      <c r="B129" s="246" t="s">
        <v>292</v>
      </c>
      <c r="C129" s="274" t="n">
        <v>0.03</v>
      </c>
      <c r="D129" s="247" t="n">
        <f aca="false">($D$124+$D$111+$D$79+$D$68+$D$23)*C129</f>
        <v>0</v>
      </c>
    </row>
    <row r="130" customFormat="false" ht="12.75" hidden="false" customHeight="false" outlineLevel="0" collapsed="false">
      <c r="A130" s="246" t="s">
        <v>16</v>
      </c>
      <c r="B130" s="246" t="s">
        <v>293</v>
      </c>
      <c r="C130" s="274" t="n">
        <v>0.03</v>
      </c>
      <c r="D130" s="247" t="n">
        <f aca="false">($D$124+$D$111+$D$79+$D$68+$D$23+D129)*C130</f>
        <v>0</v>
      </c>
    </row>
    <row r="131" s="277" customFormat="true" ht="12.75" hidden="false" customHeight="false" outlineLevel="0" collapsed="false">
      <c r="A131" s="275" t="s">
        <v>294</v>
      </c>
      <c r="B131" s="275"/>
      <c r="C131" s="275"/>
      <c r="D131" s="276" t="n">
        <f aca="false">++D130+D129+D124+D111+D79+D68+D23</f>
        <v>0</v>
      </c>
    </row>
    <row r="132" s="277" customFormat="true" ht="12.75" hidden="false" customHeight="true" outlineLevel="0" collapsed="false">
      <c r="A132" s="278" t="s">
        <v>295</v>
      </c>
      <c r="B132" s="278"/>
      <c r="C132" s="278"/>
      <c r="D132" s="276" t="n">
        <f aca="false">ROUND(D131/(1-(C135+C136+C138+C140+C141)),2)</f>
        <v>0</v>
      </c>
    </row>
    <row r="133" customFormat="false" ht="12.75" hidden="false" customHeight="false" outlineLevel="0" collapsed="false">
      <c r="A133" s="128" t="s">
        <v>19</v>
      </c>
      <c r="B133" s="128" t="s">
        <v>296</v>
      </c>
      <c r="C133" s="225"/>
      <c r="D133" s="128"/>
    </row>
    <row r="134" customFormat="false" ht="12.75" hidden="false" customHeight="false" outlineLevel="0" collapsed="false">
      <c r="A134" s="128" t="s">
        <v>248</v>
      </c>
      <c r="B134" s="128" t="s">
        <v>297</v>
      </c>
      <c r="C134" s="225"/>
      <c r="D134" s="128"/>
    </row>
    <row r="135" customFormat="false" ht="12.75" hidden="false" customHeight="false" outlineLevel="0" collapsed="false">
      <c r="A135" s="246" t="s">
        <v>298</v>
      </c>
      <c r="B135" s="246" t="s">
        <v>299</v>
      </c>
      <c r="C135" s="274" t="n">
        <v>0.0065</v>
      </c>
      <c r="D135" s="247" t="n">
        <f aca="false">ROUND(C135*$D$132,2)</f>
        <v>0</v>
      </c>
    </row>
    <row r="136" customFormat="false" ht="12.75" hidden="false" customHeight="false" outlineLevel="0" collapsed="false">
      <c r="A136" s="246" t="s">
        <v>300</v>
      </c>
      <c r="B136" s="246" t="s">
        <v>301</v>
      </c>
      <c r="C136" s="274" t="n">
        <v>0.03</v>
      </c>
      <c r="D136" s="247" t="n">
        <f aca="false">ROUND(C136*$D$132,2)</f>
        <v>0</v>
      </c>
    </row>
    <row r="137" customFormat="false" ht="12.75" hidden="false" customHeight="false" outlineLevel="0" collapsed="false">
      <c r="A137" s="128" t="s">
        <v>302</v>
      </c>
      <c r="B137" s="128" t="s">
        <v>303</v>
      </c>
      <c r="C137" s="225"/>
      <c r="D137" s="129"/>
    </row>
    <row r="138" customFormat="false" ht="12.75" hidden="false" customHeight="false" outlineLevel="0" collapsed="false">
      <c r="A138" s="128" t="s">
        <v>304</v>
      </c>
      <c r="B138" s="128" t="s">
        <v>305</v>
      </c>
      <c r="C138" s="225"/>
      <c r="D138" s="128"/>
    </row>
    <row r="139" customFormat="false" ht="12.75" hidden="false" customHeight="false" outlineLevel="0" collapsed="false">
      <c r="A139" s="128" t="s">
        <v>306</v>
      </c>
      <c r="B139" s="128" t="s">
        <v>307</v>
      </c>
      <c r="C139" s="225"/>
      <c r="D139" s="128"/>
    </row>
    <row r="140" customFormat="false" ht="12.75" hidden="false" customHeight="false" outlineLevel="0" collapsed="false">
      <c r="A140" s="246" t="s">
        <v>308</v>
      </c>
      <c r="B140" s="246" t="s">
        <v>309</v>
      </c>
      <c r="C140" s="274" t="n">
        <v>0.05</v>
      </c>
      <c r="D140" s="247" t="n">
        <f aca="false">ROUND(C140*$D$132,2)</f>
        <v>0</v>
      </c>
    </row>
    <row r="141" customFormat="false" ht="12.75" hidden="false" customHeight="false" outlineLevel="0" collapsed="false">
      <c r="A141" s="128" t="s">
        <v>310</v>
      </c>
      <c r="B141" s="128" t="s">
        <v>311</v>
      </c>
      <c r="C141" s="225"/>
      <c r="D141" s="128"/>
    </row>
    <row r="142" customFormat="false" ht="12.75" hidden="false" customHeight="false" outlineLevel="0" collapsed="false">
      <c r="A142" s="235" t="s">
        <v>218</v>
      </c>
      <c r="B142" s="235"/>
      <c r="C142" s="279" t="n">
        <f aca="false">+C141+C140+C138+C136+C135+C130+C129</f>
        <v>0.1465</v>
      </c>
      <c r="D142" s="27" t="n">
        <f aca="false">+D140+D138+D136+D135+D130+D129</f>
        <v>0</v>
      </c>
    </row>
    <row r="144" customFormat="false" ht="12.75" hidden="false" customHeight="false" outlineLevel="0" collapsed="false">
      <c r="A144" s="339" t="s">
        <v>312</v>
      </c>
      <c r="B144" s="339"/>
      <c r="C144" s="339"/>
      <c r="D144" s="339"/>
    </row>
    <row r="145" customFormat="false" ht="12.75" hidden="false" customHeight="false" outlineLevel="0" collapsed="false">
      <c r="A145" s="128" t="s">
        <v>14</v>
      </c>
      <c r="B145" s="263" t="s">
        <v>313</v>
      </c>
      <c r="C145" s="263"/>
      <c r="D145" s="78" t="n">
        <f aca="false">+D23</f>
        <v>0</v>
      </c>
    </row>
    <row r="146" customFormat="false" ht="12.75" hidden="false" customHeight="false" outlineLevel="0" collapsed="false">
      <c r="A146" s="128" t="s">
        <v>314</v>
      </c>
      <c r="B146" s="263" t="s">
        <v>315</v>
      </c>
      <c r="C146" s="263"/>
      <c r="D146" s="78" t="n">
        <f aca="false">+D68</f>
        <v>0</v>
      </c>
    </row>
    <row r="147" customFormat="false" ht="12.75" hidden="false" customHeight="false" outlineLevel="0" collapsed="false">
      <c r="A147" s="128" t="s">
        <v>19</v>
      </c>
      <c r="B147" s="263" t="s">
        <v>316</v>
      </c>
      <c r="C147" s="263"/>
      <c r="D147" s="78" t="n">
        <f aca="false">+D79</f>
        <v>0</v>
      </c>
    </row>
    <row r="148" customFormat="false" ht="12.75" hidden="false" customHeight="false" outlineLevel="0" collapsed="false">
      <c r="A148" s="128" t="s">
        <v>21</v>
      </c>
      <c r="B148" s="263" t="s">
        <v>317</v>
      </c>
      <c r="C148" s="263"/>
      <c r="D148" s="78" t="n">
        <f aca="false">+D111</f>
        <v>0</v>
      </c>
    </row>
    <row r="149" customFormat="false" ht="12.75" hidden="false" customHeight="false" outlineLevel="0" collapsed="false">
      <c r="A149" s="128" t="s">
        <v>204</v>
      </c>
      <c r="B149" s="263" t="s">
        <v>318</v>
      </c>
      <c r="C149" s="263"/>
      <c r="D149" s="78" t="n">
        <f aca="false">+D124</f>
        <v>0</v>
      </c>
    </row>
    <row r="150" customFormat="false" ht="12.75" hidden="false" customHeight="false" outlineLevel="0" collapsed="false">
      <c r="B150" s="281" t="s">
        <v>319</v>
      </c>
      <c r="C150" s="281"/>
      <c r="D150" s="282" t="n">
        <f aca="false">SUM(D145:D149)</f>
        <v>0</v>
      </c>
    </row>
    <row r="151" customFormat="false" ht="12.75" hidden="false" customHeight="false" outlineLevel="0" collapsed="false">
      <c r="A151" s="128" t="s">
        <v>206</v>
      </c>
      <c r="B151" s="263" t="s">
        <v>320</v>
      </c>
      <c r="C151" s="263"/>
      <c r="D151" s="78" t="n">
        <f aca="false">+D142</f>
        <v>0</v>
      </c>
    </row>
    <row r="153" customFormat="false" ht="12.75" hidden="false" customHeight="false" outlineLevel="0" collapsed="false">
      <c r="A153" s="340" t="s">
        <v>321</v>
      </c>
      <c r="B153" s="340"/>
      <c r="C153" s="340"/>
      <c r="D153" s="284" t="n">
        <f aca="false">ROUND(+D151+D150,2)</f>
        <v>0</v>
      </c>
    </row>
    <row r="155" customFormat="false" ht="12.75" hidden="false" customHeight="false" outlineLevel="0" collapsed="false">
      <c r="A155" s="285" t="s">
        <v>322</v>
      </c>
      <c r="B155" s="285"/>
      <c r="C155" s="285"/>
      <c r="D155" s="285"/>
    </row>
    <row r="157" customFormat="false" ht="12.75" hidden="false" customHeight="false" outlineLevel="0" collapsed="false">
      <c r="A157" s="128" t="s">
        <v>14</v>
      </c>
      <c r="B157" s="128" t="s">
        <v>223</v>
      </c>
      <c r="C157" s="286" t="e">
        <f aca="false">+C29</f>
        <v>#DIV/0!</v>
      </c>
      <c r="D157" s="78" t="n">
        <f aca="false">+D29</f>
        <v>0</v>
      </c>
    </row>
    <row r="158" customFormat="false" ht="12.75" hidden="false" customHeight="false" outlineLevel="0" collapsed="false">
      <c r="A158" s="128" t="s">
        <v>16</v>
      </c>
      <c r="B158" s="128" t="s">
        <v>226</v>
      </c>
      <c r="C158" s="286" t="e">
        <f aca="false">+C31</f>
        <v>#DIV/0!</v>
      </c>
      <c r="D158" s="78" t="n">
        <f aca="false">+D31</f>
        <v>0</v>
      </c>
    </row>
    <row r="159" customFormat="false" ht="12.75" hidden="false" customHeight="false" outlineLevel="0" collapsed="false">
      <c r="A159" s="128" t="s">
        <v>19</v>
      </c>
      <c r="B159" s="128" t="s">
        <v>228</v>
      </c>
      <c r="C159" s="286" t="e">
        <f aca="false">+C32</f>
        <v>#DIV/0!</v>
      </c>
      <c r="D159" s="78" t="n">
        <f aca="false">+D32</f>
        <v>0</v>
      </c>
    </row>
    <row r="160" customFormat="false" ht="25.5" hidden="false" customHeight="false" outlineLevel="0" collapsed="false">
      <c r="A160" s="128" t="s">
        <v>21</v>
      </c>
      <c r="B160" s="261" t="s">
        <v>261</v>
      </c>
      <c r="C160" s="225" t="e">
        <f aca="false">+C75</f>
        <v>#DIV/0!</v>
      </c>
      <c r="D160" s="78" t="n">
        <f aca="false">+D75</f>
        <v>0</v>
      </c>
    </row>
    <row r="161" customFormat="false" ht="25.5" hidden="false" customHeight="false" outlineLevel="0" collapsed="false">
      <c r="A161" s="128" t="s">
        <v>204</v>
      </c>
      <c r="B161" s="261" t="s">
        <v>264</v>
      </c>
      <c r="C161" s="286" t="e">
        <f aca="false">+C78</f>
        <v>#DIV/0!</v>
      </c>
      <c r="D161" s="129" t="n">
        <f aca="false">+D78</f>
        <v>0</v>
      </c>
    </row>
    <row r="162" customFormat="false" ht="12.75" hidden="false" customHeight="false" outlineLevel="0" collapsed="false">
      <c r="A162" s="128" t="s">
        <v>254</v>
      </c>
      <c r="B162" s="110" t="s">
        <v>323</v>
      </c>
      <c r="C162" s="287" t="e">
        <f aca="false">+(D162+D163+D164)/D23</f>
        <v>#DIV/0!</v>
      </c>
      <c r="D162" s="78" t="n">
        <f aca="false">ROUND(D29*(SUM($C$37:$C$44)),2)</f>
        <v>0</v>
      </c>
    </row>
    <row r="163" customFormat="false" ht="12.75" hidden="false" customHeight="false" outlineLevel="0" collapsed="false">
      <c r="A163" s="128" t="s">
        <v>324</v>
      </c>
      <c r="B163" s="110" t="s">
        <v>325</v>
      </c>
      <c r="C163" s="287"/>
      <c r="D163" s="78" t="n">
        <f aca="false">ROUND(D31*(SUM($C$37:$C$44)),2)</f>
        <v>0</v>
      </c>
    </row>
    <row r="164" customFormat="false" ht="12.75" hidden="false" customHeight="false" outlineLevel="0" collapsed="false">
      <c r="A164" s="128" t="s">
        <v>326</v>
      </c>
      <c r="B164" s="110" t="s">
        <v>327</v>
      </c>
      <c r="C164" s="287"/>
      <c r="D164" s="78" t="n">
        <f aca="false">ROUND(D32*(SUM($C$37:$C$44)),2)</f>
        <v>0</v>
      </c>
    </row>
    <row r="165" customFormat="false" ht="12.75" hidden="false" customHeight="false" outlineLevel="0" collapsed="false">
      <c r="A165" s="254" t="s">
        <v>218</v>
      </c>
      <c r="B165" s="254"/>
      <c r="C165" s="254"/>
      <c r="D165" s="288" t="n">
        <f aca="false">SUM(D157:D164)</f>
        <v>0</v>
      </c>
    </row>
    <row r="166" customFormat="false" ht="12.75" hidden="false" customHeight="false" outlineLevel="0" collapsed="false">
      <c r="B166" s="289"/>
      <c r="C166" s="289"/>
      <c r="D166" s="289"/>
    </row>
    <row r="167" customFormat="false" ht="12.75" hidden="false" customHeight="false" outlineLevel="0" collapsed="false">
      <c r="A167" s="292"/>
      <c r="B167" s="292"/>
      <c r="C167" s="292"/>
      <c r="D167" s="292"/>
      <c r="E167" s="292"/>
    </row>
    <row r="168" s="127" customFormat="true" ht="12.75" hidden="false" customHeight="true" outlineLevel="0" collapsed="false">
      <c r="A168" s="290" t="s">
        <v>328</v>
      </c>
      <c r="B168" s="290"/>
      <c r="C168" s="290"/>
      <c r="D168" s="290"/>
      <c r="E168" s="291"/>
    </row>
    <row r="169" customFormat="false" ht="12.75" hidden="false" customHeight="false" outlineLevel="0" collapsed="false">
      <c r="A169" s="292"/>
      <c r="B169" s="292"/>
      <c r="C169" s="292"/>
      <c r="D169" s="292"/>
      <c r="E169" s="292"/>
    </row>
    <row r="170" customFormat="false" ht="50.25" hidden="false" customHeight="true" outlineLevel="0" collapsed="false">
      <c r="A170" s="293" t="s">
        <v>329</v>
      </c>
      <c r="B170" s="293"/>
      <c r="C170" s="293"/>
      <c r="D170" s="293"/>
      <c r="E170" s="292"/>
    </row>
  </sheetData>
  <mergeCells count="83"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53:C153"/>
    <mergeCell ref="A155:D155"/>
    <mergeCell ref="C162:C164"/>
    <mergeCell ref="A165:C165"/>
    <mergeCell ref="A168:D168"/>
    <mergeCell ref="A170:D170"/>
  </mergeCells>
  <printOptions headings="false" gridLines="false" gridLinesSet="true" horizontalCentered="false" verticalCentered="false"/>
  <pageMargins left="1.25972222222222" right="0.120138888888889" top="0.35" bottom="0.520138888888889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1" manualBreakCount="1">
    <brk id="112" man="true" max="16383" min="0"/>
  </rowBreaks>
</worksheet>
</file>

<file path=xl/worksheets/sheet13.xml><?xml version="1.0" encoding="utf-8"?>
<worksheet xmlns="http://schemas.openxmlformats.org/spreadsheetml/2006/main" xmlns:r="http://schemas.openxmlformats.org/officeDocument/2006/relationships">
  <sheetPr filterMode="false">
    <tabColor rgb="FF77933C"/>
    <pageSetUpPr fitToPage="false"/>
  </sheetPr>
  <dimension ref="A1:D2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4" activeCellId="0" sqref="E54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2" min="2" style="0" width="12.25"/>
    <col collapsed="false" customWidth="true" hidden="false" outlineLevel="0" max="3" min="3" style="0" width="11.88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341" t="s">
        <v>439</v>
      </c>
      <c r="B1" s="341"/>
      <c r="C1" s="341"/>
    </row>
    <row r="3" customFormat="false" ht="12.75" hidden="false" customHeight="false" outlineLevel="0" collapsed="false">
      <c r="A3" s="128" t="s">
        <v>332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(365.25/12/2)/(7/7)</f>
        <v>15.21875</v>
      </c>
    </row>
    <row r="6" customFormat="false" ht="12.75" hidden="false" customHeight="false" outlineLevel="0" collapsed="false">
      <c r="A6" s="110" t="s">
        <v>200</v>
      </c>
      <c r="B6" s="129" t="n">
        <f aca="false">+'Vigilante 12x36 Noturno Arm'!D12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12x36 Noturno Arm'!D23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12x36 Noturno Arm'!D12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12x36 Noturno Arm'!D13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12x36 Noturno Arm'!D14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12x36 Noturno Arm'!D15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12x36 Noturno Arm'!D16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12x36 Noturno Arm'!D20</f>
        <v>0</v>
      </c>
    </row>
    <row r="16" customFormat="false" ht="12.75" hidden="false" customHeight="false" outlineLevel="0" collapsed="false">
      <c r="A16" s="230" t="s">
        <v>337</v>
      </c>
      <c r="B16" s="297"/>
      <c r="C16" s="298" t="n">
        <f aca="false">SUM(C10:C15)</f>
        <v>0</v>
      </c>
    </row>
    <row r="17" customFormat="false" ht="12.75" hidden="false" customHeight="false" outlineLevel="0" collapsed="false">
      <c r="A17" s="128" t="s">
        <v>332</v>
      </c>
      <c r="B17" s="299" t="n">
        <f aca="false">+B3</f>
        <v>220</v>
      </c>
      <c r="C17" s="241"/>
    </row>
    <row r="18" customFormat="false" ht="12.75" hidden="false" customHeight="false" outlineLevel="0" collapsed="false">
      <c r="A18" s="230" t="s">
        <v>338</v>
      </c>
      <c r="B18" s="297"/>
      <c r="C18" s="232" t="n">
        <f aca="false">+C16/B17</f>
        <v>0</v>
      </c>
    </row>
    <row r="19" customFormat="false" ht="12.75" hidden="false" customHeight="false" outlineLevel="0" collapsed="false">
      <c r="A19" s="128" t="s">
        <v>339</v>
      </c>
      <c r="B19" s="128" t="n">
        <v>16</v>
      </c>
      <c r="C19" s="241"/>
    </row>
    <row r="20" customFormat="false" ht="12.75" hidden="false" customHeight="false" outlineLevel="0" collapsed="false">
      <c r="A20" s="128" t="s">
        <v>340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341</v>
      </c>
      <c r="B21" s="128" t="n">
        <f aca="false">+B20*B19</f>
        <v>192</v>
      </c>
      <c r="C21" s="78" t="n">
        <f aca="false">+B21*C18</f>
        <v>0</v>
      </c>
    </row>
    <row r="22" customFormat="false" ht="12.75" hidden="false" customHeight="false" outlineLevel="0" collapsed="false">
      <c r="A22" s="128" t="s">
        <v>342</v>
      </c>
      <c r="B22" s="225" t="n">
        <v>0.5</v>
      </c>
      <c r="C22" s="78" t="n">
        <f aca="false">+B22*C21</f>
        <v>0</v>
      </c>
    </row>
    <row r="23" customFormat="false" ht="12.75" hidden="false" customHeight="false" outlineLevel="0" collapsed="false">
      <c r="A23" s="128" t="s">
        <v>343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344</v>
      </c>
      <c r="B24" s="128" t="n">
        <v>12</v>
      </c>
      <c r="C24" s="300"/>
    </row>
    <row r="25" customFormat="false" ht="12.75" hidden="false" customHeight="false" outlineLevel="0" collapsed="false">
      <c r="A25" s="268" t="s">
        <v>345</v>
      </c>
      <c r="B25" s="268"/>
      <c r="C25" s="288" t="n">
        <f aca="false">+C23/B24</f>
        <v>0</v>
      </c>
    </row>
    <row r="26" customFormat="false" ht="12.75" hidden="false" customHeight="false" outlineLevel="0" collapsed="false">
      <c r="C26" s="245"/>
    </row>
    <row r="27" customFormat="false" ht="12.75" hidden="false" customHeight="false" outlineLevel="0" collapsed="false">
      <c r="A27" s="255" t="s">
        <v>346</v>
      </c>
      <c r="B27" s="255"/>
      <c r="C27" s="255"/>
    </row>
    <row r="28" customFormat="false" ht="12.75" hidden="false" customHeight="false" outlineLevel="0" collapsed="false">
      <c r="A28" s="128" t="s">
        <v>338</v>
      </c>
      <c r="B28" s="260"/>
      <c r="C28" s="296" t="n">
        <f aca="false">+C18</f>
        <v>0</v>
      </c>
    </row>
    <row r="29" customFormat="false" ht="12.75" hidden="false" customHeight="false" outlineLevel="0" collapsed="false">
      <c r="A29" s="128" t="s">
        <v>341</v>
      </c>
      <c r="B29" s="128" t="n">
        <v>192</v>
      </c>
      <c r="C29" s="241"/>
    </row>
    <row r="30" customFormat="false" ht="12.75" hidden="false" customHeight="false" outlineLevel="0" collapsed="false">
      <c r="A30" s="128" t="s">
        <v>347</v>
      </c>
      <c r="B30" s="128" t="n">
        <f aca="false">+$B$4</f>
        <v>365.25</v>
      </c>
      <c r="C30" s="241"/>
    </row>
    <row r="31" customFormat="false" ht="12.75" hidden="false" customHeight="false" outlineLevel="0" collapsed="false">
      <c r="A31" s="128" t="s">
        <v>339</v>
      </c>
      <c r="B31" s="128" t="n">
        <v>16</v>
      </c>
      <c r="C31" s="241"/>
    </row>
    <row r="32" customFormat="false" ht="12.75" hidden="false" customHeight="false" outlineLevel="0" collapsed="false">
      <c r="A32" s="128" t="s">
        <v>342</v>
      </c>
      <c r="B32" s="225" t="n">
        <v>0.5</v>
      </c>
      <c r="C32" s="241"/>
    </row>
    <row r="33" customFormat="false" ht="12.75" hidden="false" customHeight="false" outlineLevel="0" collapsed="false">
      <c r="A33" s="128" t="s">
        <v>348</v>
      </c>
      <c r="B33" s="301" t="n">
        <f aca="false">ROUND(((B30/7)*6)-B31,2)</f>
        <v>297.07</v>
      </c>
      <c r="C33" s="241"/>
    </row>
    <row r="34" customFormat="false" ht="12.75" hidden="false" customHeight="false" outlineLevel="0" collapsed="false">
      <c r="A34" s="128" t="s">
        <v>349</v>
      </c>
      <c r="B34" s="110" t="n">
        <v>12</v>
      </c>
      <c r="C34" s="241"/>
    </row>
    <row r="35" customFormat="false" ht="25.5" hidden="false" customHeight="false" outlineLevel="0" collapsed="false">
      <c r="A35" s="261" t="s">
        <v>350</v>
      </c>
      <c r="B35" s="128" t="n">
        <f aca="false">+((B29/B34)*B32)/B33</f>
        <v>0.0269296798734305</v>
      </c>
      <c r="C35" s="241"/>
    </row>
    <row r="36" customFormat="false" ht="12.75" hidden="false" customHeight="false" outlineLevel="0" collapsed="false">
      <c r="A36" s="253" t="s">
        <v>351</v>
      </c>
      <c r="B36" s="253"/>
      <c r="C36" s="288" t="n">
        <f aca="false">+C28*(B30-B33)*B35</f>
        <v>0</v>
      </c>
    </row>
    <row r="37" customFormat="false" ht="12.75" hidden="false" customHeight="false" outlineLevel="0" collapsed="false">
      <c r="C37" s="245"/>
    </row>
    <row r="38" customFormat="false" ht="12.75" hidden="false" customHeight="false" outlineLevel="0" collapsed="false">
      <c r="A38" s="285" t="s">
        <v>352</v>
      </c>
      <c r="B38" s="285"/>
      <c r="C38" s="285"/>
    </row>
    <row r="39" customFormat="false" ht="12.75" hidden="false" customHeight="false" outlineLevel="0" collapsed="false">
      <c r="A39" s="264" t="s">
        <v>200</v>
      </c>
      <c r="B39" s="302"/>
      <c r="C39" s="303" t="n">
        <f aca="false">+'Vigilante 12x36 Noturno Arm'!D12</f>
        <v>0</v>
      </c>
    </row>
    <row r="40" customFormat="false" ht="12.75" hidden="false" customHeight="false" outlineLevel="0" collapsed="false">
      <c r="A40" s="264" t="s">
        <v>201</v>
      </c>
      <c r="B40" s="304"/>
      <c r="C40" s="303" t="n">
        <f aca="false">+'Vigilante 12x36 Noturno Arm'!D13</f>
        <v>0</v>
      </c>
    </row>
    <row r="41" customFormat="false" ht="12.75" hidden="false" customHeight="false" outlineLevel="0" collapsed="false">
      <c r="A41" s="264" t="s">
        <v>202</v>
      </c>
      <c r="B41" s="304"/>
      <c r="C41" s="303" t="n">
        <f aca="false">+'Vigilante 12x36 Noturno Arm'!D14</f>
        <v>0</v>
      </c>
    </row>
    <row r="42" customFormat="false" ht="12.75" hidden="false" customHeight="false" outlineLevel="0" collapsed="false">
      <c r="A42" s="264" t="s">
        <v>203</v>
      </c>
      <c r="B42" s="304"/>
      <c r="C42" s="303" t="n">
        <f aca="false">+'Vigilante 12x36 Noturno Arm'!D15</f>
        <v>0</v>
      </c>
    </row>
    <row r="43" customFormat="false" ht="12.75" hidden="false" customHeight="false" outlineLevel="0" collapsed="false">
      <c r="A43" s="264" t="s">
        <v>205</v>
      </c>
      <c r="B43" s="304"/>
      <c r="C43" s="303" t="n">
        <f aca="false">+'Vigilante 12x36 Noturno Arm'!D16</f>
        <v>0</v>
      </c>
    </row>
    <row r="44" customFormat="false" ht="12.75" hidden="false" customHeight="false" outlineLevel="0" collapsed="false">
      <c r="A44" s="264" t="s">
        <v>209</v>
      </c>
      <c r="B44" s="304"/>
      <c r="C44" s="303" t="n">
        <f aca="false">+'Vigilante 12x36 Noturno Arm'!D18</f>
        <v>0</v>
      </c>
    </row>
    <row r="45" customFormat="false" ht="12.75" hidden="false" customHeight="false" outlineLevel="0" collapsed="false">
      <c r="A45" s="264" t="s">
        <v>213</v>
      </c>
      <c r="B45" s="304"/>
      <c r="C45" s="303" t="n">
        <f aca="false">+'Vigilante 12x36 Noturno Arm'!D20</f>
        <v>0</v>
      </c>
    </row>
    <row r="46" customFormat="false" ht="12.75" hidden="false" customHeight="false" outlineLevel="0" collapsed="false">
      <c r="A46" s="230" t="s">
        <v>353</v>
      </c>
      <c r="B46" s="305"/>
      <c r="C46" s="306" t="n">
        <f aca="false">SUM(C39:C45)</f>
        <v>0</v>
      </c>
    </row>
    <row r="47" customFormat="false" ht="12.75" hidden="false" customHeight="false" outlineLevel="0" collapsed="false">
      <c r="A47" s="128" t="s">
        <v>332</v>
      </c>
      <c r="B47" s="299" t="n">
        <f aca="false">+B3</f>
        <v>220</v>
      </c>
      <c r="C47" s="304"/>
    </row>
    <row r="48" customFormat="false" ht="12.75" hidden="false" customHeight="false" outlineLevel="0" collapsed="false">
      <c r="A48" s="128" t="s">
        <v>338</v>
      </c>
      <c r="B48" s="304"/>
      <c r="C48" s="307" t="n">
        <f aca="false">ROUND(+C46/B47,2)</f>
        <v>0</v>
      </c>
    </row>
    <row r="49" customFormat="false" ht="12.75" hidden="false" customHeight="false" outlineLevel="0" collapsed="false">
      <c r="A49" s="128" t="s">
        <v>354</v>
      </c>
      <c r="B49" s="295" t="n">
        <f aca="false">(365.25/12/2)/(7/7)</f>
        <v>15.21875</v>
      </c>
      <c r="C49" s="304"/>
    </row>
    <row r="50" customFormat="false" ht="12.75" hidden="false" customHeight="false" outlineLevel="0" collapsed="false">
      <c r="A50" s="128" t="s">
        <v>355</v>
      </c>
      <c r="B50" s="225" t="n">
        <v>0.5</v>
      </c>
      <c r="C50" s="128"/>
    </row>
    <row r="51" customFormat="false" ht="12.75" hidden="false" customHeight="false" outlineLevel="0" collapsed="false">
      <c r="A51" s="268" t="s">
        <v>356</v>
      </c>
      <c r="B51" s="268"/>
      <c r="C51" s="288" t="n">
        <f aca="false">ROUND((B49*C48)*(1+B50),2)</f>
        <v>0</v>
      </c>
    </row>
    <row r="53" customFormat="false" ht="12.75" hidden="false" customHeight="false" outlineLevel="0" collapsed="false">
      <c r="A53" s="285" t="s">
        <v>357</v>
      </c>
      <c r="B53" s="285"/>
      <c r="C53" s="285"/>
    </row>
    <row r="54" customFormat="false" ht="12.75" hidden="false" customHeight="false" outlineLevel="0" collapsed="false">
      <c r="A54" s="128" t="s">
        <v>347</v>
      </c>
      <c r="B54" s="128" t="n">
        <v>365.25</v>
      </c>
      <c r="C54" s="260"/>
    </row>
    <row r="55" customFormat="false" ht="12.75" hidden="false" customHeight="false" outlineLevel="0" collapsed="false">
      <c r="A55" s="128" t="s">
        <v>349</v>
      </c>
      <c r="B55" s="110" t="n">
        <v>12</v>
      </c>
      <c r="C55" s="260"/>
    </row>
    <row r="56" customFormat="false" ht="12.75" hidden="false" customHeight="false" outlineLevel="0" collapsed="false">
      <c r="A56" s="128" t="s">
        <v>358</v>
      </c>
      <c r="B56" s="225" t="n">
        <v>0.5</v>
      </c>
      <c r="C56" s="260"/>
    </row>
    <row r="57" customFormat="false" ht="12.75" hidden="false" customHeight="false" outlineLevel="0" collapsed="false">
      <c r="A57" s="308" t="s">
        <v>440</v>
      </c>
      <c r="B57" s="110" t="n">
        <v>7</v>
      </c>
      <c r="C57" s="260"/>
    </row>
    <row r="58" customFormat="false" ht="12.75" hidden="false" customHeight="false" outlineLevel="0" collapsed="false">
      <c r="A58" s="110" t="s">
        <v>360</v>
      </c>
      <c r="B58" s="260"/>
      <c r="C58" s="129" t="n">
        <f aca="false">+'Vigilante 12x36 Noturno Arm'!$D$12</f>
        <v>0</v>
      </c>
    </row>
    <row r="59" customFormat="false" ht="12.75" hidden="false" customHeight="false" outlineLevel="0" collapsed="false">
      <c r="A59" s="110" t="s">
        <v>201</v>
      </c>
      <c r="B59" s="260"/>
      <c r="C59" s="129" t="n">
        <f aca="false">+'Vigilante 12x36 Noturno Arm'!$D$13</f>
        <v>0</v>
      </c>
    </row>
    <row r="60" customFormat="false" ht="12.75" hidden="false" customHeight="false" outlineLevel="0" collapsed="false">
      <c r="A60" s="110" t="s">
        <v>202</v>
      </c>
      <c r="B60" s="260"/>
      <c r="C60" s="129" t="n">
        <f aca="false">+'Vigilante 12x36 Noturno Arm'!$D$14</f>
        <v>0</v>
      </c>
    </row>
    <row r="61" customFormat="false" ht="12.75" hidden="false" customHeight="false" outlineLevel="0" collapsed="false">
      <c r="A61" s="309" t="s">
        <v>337</v>
      </c>
      <c r="B61" s="260"/>
      <c r="C61" s="310" t="n">
        <f aca="false">SUM(C58:C60)</f>
        <v>0</v>
      </c>
    </row>
    <row r="62" customFormat="false" ht="12.75" hidden="false" customHeight="false" outlineLevel="0" collapsed="false">
      <c r="A62" s="128" t="s">
        <v>332</v>
      </c>
      <c r="B62" s="311" t="n">
        <f aca="false">+B3</f>
        <v>220</v>
      </c>
      <c r="C62" s="260"/>
    </row>
    <row r="63" customFormat="false" ht="12.75" hidden="false" customHeight="false" outlineLevel="0" collapsed="false">
      <c r="A63" s="110" t="s">
        <v>361</v>
      </c>
      <c r="B63" s="225" t="n">
        <v>0.2</v>
      </c>
      <c r="C63" s="260"/>
    </row>
    <row r="64" customFormat="false" ht="12.75" hidden="false" customHeight="false" outlineLevel="0" collapsed="false">
      <c r="A64" s="110" t="s">
        <v>362</v>
      </c>
      <c r="B64" s="260"/>
      <c r="C64" s="78" t="n">
        <f aca="false">ROUND((C61/B62)*B63,2)</f>
        <v>0</v>
      </c>
    </row>
    <row r="65" customFormat="false" ht="12.75" hidden="false" customHeight="false" outlineLevel="0" collapsed="false">
      <c r="A65" s="110" t="s">
        <v>363</v>
      </c>
      <c r="B65" s="128" t="n">
        <f aca="false">ROUND(+B54/B55*B56*B57,0)</f>
        <v>107</v>
      </c>
      <c r="C65" s="312"/>
    </row>
    <row r="66" customFormat="false" ht="12.75" hidden="false" customHeight="false" outlineLevel="0" collapsed="false">
      <c r="A66" s="313" t="s">
        <v>364</v>
      </c>
      <c r="B66" s="313"/>
      <c r="C66" s="26" t="n">
        <f aca="false">ROUND(+B65*C64,2)</f>
        <v>0</v>
      </c>
    </row>
    <row r="68" customFormat="false" ht="12.75" hidden="false" customHeight="false" outlineLevel="0" collapsed="false">
      <c r="A68" s="255" t="s">
        <v>365</v>
      </c>
      <c r="B68" s="255"/>
      <c r="C68" s="255"/>
    </row>
    <row r="69" customFormat="false" ht="12.75" hidden="false" customHeight="false" outlineLevel="0" collapsed="false">
      <c r="A69" s="128" t="s">
        <v>338</v>
      </c>
      <c r="B69" s="260"/>
      <c r="C69" s="296" t="n">
        <f aca="false">+C66</f>
        <v>0</v>
      </c>
    </row>
    <row r="70" customFormat="false" ht="12.75" hidden="false" customHeight="false" outlineLevel="0" collapsed="false">
      <c r="A70" s="128" t="s">
        <v>341</v>
      </c>
      <c r="B70" s="128" t="n">
        <v>192</v>
      </c>
      <c r="C70" s="241"/>
    </row>
    <row r="71" customFormat="false" ht="12.75" hidden="false" customHeight="false" outlineLevel="0" collapsed="false">
      <c r="A71" s="128" t="s">
        <v>347</v>
      </c>
      <c r="B71" s="128" t="n">
        <f aca="false">+$B$4</f>
        <v>365.25</v>
      </c>
      <c r="C71" s="241"/>
    </row>
    <row r="72" customFormat="false" ht="12.75" hidden="false" customHeight="false" outlineLevel="0" collapsed="false">
      <c r="A72" s="128" t="s">
        <v>339</v>
      </c>
      <c r="B72" s="128" t="n">
        <v>16</v>
      </c>
      <c r="C72" s="241"/>
    </row>
    <row r="73" customFormat="false" ht="12.75" hidden="false" customHeight="false" outlineLevel="0" collapsed="false">
      <c r="A73" s="128" t="s">
        <v>342</v>
      </c>
      <c r="B73" s="225" t="n">
        <v>0.5</v>
      </c>
      <c r="C73" s="241"/>
    </row>
    <row r="74" customFormat="false" ht="12.75" hidden="false" customHeight="false" outlineLevel="0" collapsed="false">
      <c r="A74" s="128" t="s">
        <v>348</v>
      </c>
      <c r="B74" s="301" t="n">
        <f aca="false">ROUND(((B71/7)*6)-B72,2)</f>
        <v>297.07</v>
      </c>
      <c r="C74" s="241"/>
    </row>
    <row r="75" customFormat="false" ht="12.75" hidden="false" customHeight="false" outlineLevel="0" collapsed="false">
      <c r="A75" s="128" t="s">
        <v>349</v>
      </c>
      <c r="B75" s="110" t="n">
        <v>12</v>
      </c>
      <c r="C75" s="241"/>
    </row>
    <row r="76" customFormat="false" ht="25.5" hidden="false" customHeight="false" outlineLevel="0" collapsed="false">
      <c r="A76" s="261" t="s">
        <v>350</v>
      </c>
      <c r="B76" s="128" t="n">
        <f aca="false">+((B70/B75)*B73)/B74</f>
        <v>0.0269296798734305</v>
      </c>
      <c r="C76" s="241"/>
    </row>
    <row r="77" customFormat="false" ht="12.75" hidden="false" customHeight="false" outlineLevel="0" collapsed="false">
      <c r="A77" s="253" t="s">
        <v>351</v>
      </c>
      <c r="B77" s="253"/>
      <c r="C77" s="288" t="n">
        <f aca="false">+C69/B70*(B71-B74)*B76</f>
        <v>0</v>
      </c>
    </row>
    <row r="79" customFormat="false" ht="12.75" hidden="false" customHeight="false" outlineLevel="0" collapsed="false">
      <c r="A79" s="285" t="s">
        <v>366</v>
      </c>
      <c r="B79" s="285"/>
      <c r="C79" s="285"/>
    </row>
    <row r="80" customFormat="false" ht="12.75" hidden="false" customHeight="false" outlineLevel="0" collapsed="false">
      <c r="A80" s="128" t="s">
        <v>347</v>
      </c>
      <c r="B80" s="128" t="n">
        <f aca="false">+$B$4</f>
        <v>365.25</v>
      </c>
      <c r="C80" s="260"/>
    </row>
    <row r="81" customFormat="false" ht="12.75" hidden="false" customHeight="false" outlineLevel="0" collapsed="false">
      <c r="A81" s="128" t="s">
        <v>349</v>
      </c>
      <c r="B81" s="110" t="n">
        <v>12</v>
      </c>
      <c r="C81" s="260"/>
    </row>
    <row r="82" customFormat="false" ht="12.75" hidden="false" customHeight="false" outlineLevel="0" collapsed="false">
      <c r="A82" s="128" t="s">
        <v>358</v>
      </c>
      <c r="B82" s="225" t="n">
        <v>0.5</v>
      </c>
      <c r="C82" s="260"/>
      <c r="D82" s="314"/>
    </row>
    <row r="83" customFormat="false" ht="12.75" hidden="false" customHeight="false" outlineLevel="0" collapsed="false">
      <c r="A83" s="308" t="s">
        <v>359</v>
      </c>
      <c r="B83" s="110" t="n">
        <v>7</v>
      </c>
      <c r="C83" s="260"/>
      <c r="D83" s="314"/>
    </row>
    <row r="84" customFormat="false" ht="12.75" hidden="false" customHeight="false" outlineLevel="0" collapsed="false">
      <c r="A84" s="110" t="s">
        <v>367</v>
      </c>
      <c r="B84" s="295" t="n">
        <f aca="false">(365.25/12/2)/(7/7)</f>
        <v>15.21875</v>
      </c>
      <c r="C84" s="128"/>
      <c r="D84" s="314"/>
    </row>
    <row r="85" customFormat="false" ht="12.75" hidden="false" customHeight="false" outlineLevel="0" collapsed="false">
      <c r="A85" s="110" t="s">
        <v>368</v>
      </c>
      <c r="B85" s="128" t="n">
        <f aca="false">ROUND(+B84*B83,2)</f>
        <v>106.53</v>
      </c>
      <c r="C85" s="128"/>
    </row>
    <row r="86" customFormat="false" ht="12.75" hidden="false" customHeight="false" outlineLevel="0" collapsed="false">
      <c r="A86" s="110" t="s">
        <v>360</v>
      </c>
      <c r="B86" s="260"/>
      <c r="C86" s="129" t="n">
        <f aca="false">+'Vigilante 12x36 Noturno Arm'!$D$12</f>
        <v>0</v>
      </c>
    </row>
    <row r="87" customFormat="false" ht="12.75" hidden="false" customHeight="false" outlineLevel="0" collapsed="false">
      <c r="A87" s="110" t="s">
        <v>201</v>
      </c>
      <c r="B87" s="260"/>
      <c r="C87" s="129" t="n">
        <f aca="false">+'Vigilante 12x36 Noturno Arm'!$D$13</f>
        <v>0</v>
      </c>
    </row>
    <row r="88" customFormat="false" ht="12.75" hidden="false" customHeight="false" outlineLevel="0" collapsed="false">
      <c r="A88" s="110" t="s">
        <v>202</v>
      </c>
      <c r="B88" s="260"/>
      <c r="C88" s="129" t="n">
        <f aca="false">+'Vigilante 12x36 Noturno Arm'!$D$14</f>
        <v>0</v>
      </c>
    </row>
    <row r="89" customFormat="false" ht="12.75" hidden="false" customHeight="false" outlineLevel="0" collapsed="false">
      <c r="A89" s="309" t="s">
        <v>337</v>
      </c>
      <c r="B89" s="260"/>
      <c r="C89" s="310" t="n">
        <f aca="false">SUM(C86:C88)</f>
        <v>0</v>
      </c>
      <c r="D89" s="103"/>
    </row>
    <row r="90" customFormat="false" ht="12.75" hidden="false" customHeight="false" outlineLevel="0" collapsed="false">
      <c r="A90" s="128" t="s">
        <v>332</v>
      </c>
      <c r="B90" s="311" t="n">
        <f aca="false">+B3</f>
        <v>220</v>
      </c>
      <c r="C90" s="260"/>
    </row>
    <row r="91" customFormat="false" ht="12.75" hidden="false" customHeight="false" outlineLevel="0" collapsed="false">
      <c r="A91" s="110" t="s">
        <v>361</v>
      </c>
      <c r="B91" s="225" t="n">
        <v>0.2</v>
      </c>
      <c r="C91" s="260"/>
    </row>
    <row r="92" customFormat="false" ht="12.75" hidden="false" customHeight="false" outlineLevel="0" collapsed="false">
      <c r="A92" s="110" t="s">
        <v>362</v>
      </c>
      <c r="B92" s="260"/>
      <c r="C92" s="78" t="n">
        <f aca="false">ROUND((C89/B90)*B91,2)</f>
        <v>0</v>
      </c>
    </row>
    <row r="93" customFormat="false" ht="12.75" hidden="false" customHeight="false" outlineLevel="0" collapsed="false">
      <c r="A93" s="110" t="s">
        <v>369</v>
      </c>
      <c r="B93" s="128" t="n">
        <v>60</v>
      </c>
      <c r="C93" s="260"/>
    </row>
    <row r="94" customFormat="false" ht="12.75" hidden="false" customHeight="false" outlineLevel="0" collapsed="false">
      <c r="A94" s="110" t="s">
        <v>370</v>
      </c>
      <c r="B94" s="128" t="n">
        <v>52.5</v>
      </c>
      <c r="C94" s="260"/>
    </row>
    <row r="95" customFormat="false" ht="12.75" hidden="false" customHeight="false" outlineLevel="0" collapsed="false">
      <c r="A95" s="110" t="s">
        <v>371</v>
      </c>
      <c r="B95" s="128" t="n">
        <f aca="false">+B93/B94</f>
        <v>1.14285714285714</v>
      </c>
      <c r="C95" s="260"/>
    </row>
    <row r="96" customFormat="false" ht="12.75" hidden="false" customHeight="false" outlineLevel="0" collapsed="false">
      <c r="A96" s="110" t="s">
        <v>372</v>
      </c>
      <c r="B96" s="128" t="n">
        <f aca="false">ROUND(+B95*B85,2)</f>
        <v>121.75</v>
      </c>
      <c r="C96" s="260"/>
    </row>
    <row r="97" customFormat="false" ht="12.75" hidden="false" customHeight="false" outlineLevel="0" collapsed="false">
      <c r="A97" s="110" t="s">
        <v>373</v>
      </c>
      <c r="B97" s="128" t="n">
        <f aca="false">ROUND(B96-B85,2)</f>
        <v>15.22</v>
      </c>
      <c r="C97" s="312"/>
    </row>
    <row r="98" customFormat="false" ht="12.75" hidden="false" customHeight="false" outlineLevel="0" collapsed="false">
      <c r="A98" s="268" t="s">
        <v>374</v>
      </c>
      <c r="B98" s="268"/>
      <c r="C98" s="272" t="n">
        <f aca="false">+B97*C92</f>
        <v>0</v>
      </c>
    </row>
    <row r="100" customFormat="false" ht="12.75" hidden="false" customHeight="false" outlineLevel="0" collapsed="false">
      <c r="A100" s="285" t="s">
        <v>375</v>
      </c>
      <c r="B100" s="285"/>
      <c r="C100" s="285"/>
    </row>
    <row r="101" customFormat="false" ht="12.75" hidden="false" customHeight="false" outlineLevel="0" collapsed="false">
      <c r="A101" s="128" t="s">
        <v>347</v>
      </c>
      <c r="B101" s="128" t="n">
        <f aca="false">+$B$4</f>
        <v>365.25</v>
      </c>
      <c r="C101" s="260"/>
    </row>
    <row r="102" customFormat="false" ht="12.75" hidden="false" customHeight="false" outlineLevel="0" collapsed="false">
      <c r="A102" s="128" t="s">
        <v>349</v>
      </c>
      <c r="B102" s="110" t="n">
        <v>12</v>
      </c>
      <c r="C102" s="260"/>
    </row>
    <row r="103" customFormat="false" ht="12.75" hidden="false" customHeight="false" outlineLevel="0" collapsed="false">
      <c r="A103" s="128" t="s">
        <v>358</v>
      </c>
      <c r="B103" s="225" t="n">
        <v>0.5</v>
      </c>
      <c r="C103" s="260"/>
    </row>
    <row r="104" customFormat="false" ht="12.75" hidden="false" customHeight="false" outlineLevel="0" collapsed="false">
      <c r="A104" s="110" t="s">
        <v>376</v>
      </c>
      <c r="B104" s="128" t="n">
        <f aca="false">ROUND((B101/B102)*B103,2)</f>
        <v>15.22</v>
      </c>
      <c r="C104" s="260"/>
    </row>
    <row r="105" customFormat="false" ht="12.75" hidden="false" customHeight="false" outlineLevel="0" collapsed="false">
      <c r="A105" s="315" t="s">
        <v>377</v>
      </c>
      <c r="B105" s="316"/>
      <c r="C105" s="260"/>
    </row>
    <row r="106" customFormat="false" ht="12.75" hidden="false" customHeight="false" outlineLevel="0" collapsed="false">
      <c r="A106" s="110" t="s">
        <v>378</v>
      </c>
      <c r="B106" s="225" t="n">
        <v>0.06</v>
      </c>
      <c r="C106" s="260"/>
    </row>
    <row r="107" customFormat="false" ht="12.75" hidden="false" customHeight="false" outlineLevel="0" collapsed="false">
      <c r="A107" s="268" t="s">
        <v>379</v>
      </c>
      <c r="B107" s="268"/>
      <c r="C107" s="288" t="n">
        <f aca="false">ROUND((B104*(B105*2)-($B$6*B106)),2)</f>
        <v>0</v>
      </c>
    </row>
    <row r="109" customFormat="false" ht="12.75" hidden="false" customHeight="false" outlineLevel="0" collapsed="false">
      <c r="A109" s="285" t="s">
        <v>380</v>
      </c>
      <c r="B109" s="285"/>
      <c r="C109" s="285"/>
    </row>
    <row r="110" customFormat="false" ht="12.75" hidden="false" customHeight="false" outlineLevel="0" collapsed="false">
      <c r="A110" s="128" t="s">
        <v>347</v>
      </c>
      <c r="B110" s="128" t="n">
        <f aca="false">+$B$4</f>
        <v>365.25</v>
      </c>
      <c r="C110" s="260"/>
    </row>
    <row r="111" customFormat="false" ht="12.75" hidden="false" customHeight="false" outlineLevel="0" collapsed="false">
      <c r="A111" s="128" t="s">
        <v>349</v>
      </c>
      <c r="B111" s="110" t="n">
        <v>12</v>
      </c>
      <c r="C111" s="260"/>
    </row>
    <row r="112" customFormat="false" ht="12.75" hidden="false" customHeight="false" outlineLevel="0" collapsed="false">
      <c r="A112" s="128" t="s">
        <v>358</v>
      </c>
      <c r="B112" s="225" t="n">
        <v>0.5</v>
      </c>
      <c r="C112" s="260"/>
    </row>
    <row r="113" customFormat="false" ht="12.75" hidden="false" customHeight="false" outlineLevel="0" collapsed="false">
      <c r="A113" s="110" t="s">
        <v>376</v>
      </c>
      <c r="B113" s="128" t="n">
        <f aca="false">ROUND((B110/B111)*B112,2)</f>
        <v>15.22</v>
      </c>
      <c r="C113" s="260"/>
    </row>
    <row r="114" customFormat="false" ht="12.75" hidden="false" customHeight="false" outlineLevel="0" collapsed="false">
      <c r="A114" s="315" t="s">
        <v>381</v>
      </c>
      <c r="B114" s="316"/>
      <c r="C114" s="260"/>
    </row>
    <row r="115" customFormat="false" ht="12.75" hidden="false" customHeight="false" outlineLevel="0" collapsed="false">
      <c r="A115" s="110" t="s">
        <v>382</v>
      </c>
      <c r="B115" s="225" t="n">
        <v>0.2</v>
      </c>
      <c r="C115" s="260"/>
    </row>
    <row r="116" customFormat="false" ht="12.75" hidden="false" customHeight="false" outlineLevel="0" collapsed="false">
      <c r="A116" s="268" t="s">
        <v>381</v>
      </c>
      <c r="B116" s="268"/>
      <c r="C116" s="288" t="n">
        <f aca="false">ROUND((B113*(B114)-((B113*B114)*B115)),2)</f>
        <v>0</v>
      </c>
    </row>
    <row r="118" customFormat="false" ht="12.75" hidden="false" customHeight="false" outlineLevel="0" collapsed="false">
      <c r="A118" s="285" t="s">
        <v>383</v>
      </c>
      <c r="B118" s="285"/>
      <c r="C118" s="285"/>
    </row>
    <row r="119" customFormat="false" ht="12.75" hidden="false" customHeight="false" outlineLevel="0" collapsed="false">
      <c r="A119" s="128" t="s">
        <v>384</v>
      </c>
      <c r="B119" s="129" t="n">
        <f aca="false">+B7</f>
        <v>0</v>
      </c>
      <c r="C119" s="260"/>
    </row>
    <row r="120" customFormat="false" ht="12.75" hidden="false" customHeight="false" outlineLevel="0" collapsed="false">
      <c r="A120" s="128" t="s">
        <v>385</v>
      </c>
      <c r="B120" s="128" t="n">
        <v>12</v>
      </c>
      <c r="C120" s="260"/>
    </row>
    <row r="121" customFormat="false" ht="12.75" hidden="false" customHeight="false" outlineLevel="0" collapsed="false">
      <c r="A121" s="246" t="s">
        <v>386</v>
      </c>
      <c r="B121" s="274"/>
      <c r="C121" s="260"/>
    </row>
    <row r="122" customFormat="false" ht="12.75" hidden="false" customHeight="false" outlineLevel="0" collapsed="false">
      <c r="A122" s="268" t="s">
        <v>387</v>
      </c>
      <c r="B122" s="268"/>
      <c r="C122" s="288" t="n">
        <f aca="false">ROUND(+(B119/B120)*B121,2)</f>
        <v>0</v>
      </c>
    </row>
    <row r="124" customFormat="false" ht="12.75" hidden="false" customHeight="true" outlineLevel="0" collapsed="false">
      <c r="A124" s="317" t="s">
        <v>388</v>
      </c>
      <c r="B124" s="317"/>
      <c r="C124" s="317"/>
    </row>
    <row r="125" s="34" customFormat="true" ht="12.75" hidden="false" customHeight="false" outlineLevel="0" collapsed="false">
      <c r="A125" s="318" t="s">
        <v>389</v>
      </c>
      <c r="B125" s="274" t="n">
        <f aca="false">+B121</f>
        <v>0</v>
      </c>
      <c r="C125" s="260"/>
    </row>
    <row r="126" customFormat="false" ht="12.75" hidden="false" customHeight="false" outlineLevel="0" collapsed="false">
      <c r="A126" s="128" t="s">
        <v>390</v>
      </c>
      <c r="B126" s="129" t="n">
        <f aca="false">+'Vigilante 12x36 Noturno Arm'!$D$23</f>
        <v>0</v>
      </c>
      <c r="C126" s="260"/>
    </row>
    <row r="127" customFormat="false" ht="12.75" hidden="false" customHeight="false" outlineLevel="0" collapsed="false">
      <c r="A127" s="128" t="s">
        <v>223</v>
      </c>
      <c r="B127" s="129" t="n">
        <f aca="false">+'Vigilante 12x36 Noturno Arm'!$D$29</f>
        <v>0</v>
      </c>
      <c r="C127" s="260"/>
    </row>
    <row r="128" customFormat="false" ht="12.75" hidden="false" customHeight="false" outlineLevel="0" collapsed="false">
      <c r="A128" s="319" t="s">
        <v>226</v>
      </c>
      <c r="B128" s="129" t="n">
        <f aca="false">+'Vigilante 12x36 Noturno Arm'!$D$31</f>
        <v>0</v>
      </c>
      <c r="C128" s="260"/>
    </row>
    <row r="129" customFormat="false" ht="12.75" hidden="false" customHeight="false" outlineLevel="0" collapsed="false">
      <c r="A129" s="319" t="s">
        <v>228</v>
      </c>
      <c r="B129" s="129" t="n">
        <f aca="false">+'Vigilante 12x36 Noturno Arm'!$D$32</f>
        <v>0</v>
      </c>
      <c r="C129" s="260"/>
    </row>
    <row r="130" customFormat="false" ht="12.75" hidden="false" customHeight="false" outlineLevel="0" collapsed="false">
      <c r="A130" s="309" t="s">
        <v>391</v>
      </c>
      <c r="B130" s="310" t="n">
        <f aca="false">SUM(B126:B129)</f>
        <v>0</v>
      </c>
      <c r="C130" s="260"/>
    </row>
    <row r="131" customFormat="false" ht="12.75" hidden="false" customHeight="false" outlineLevel="0" collapsed="false">
      <c r="A131" s="76" t="s">
        <v>392</v>
      </c>
      <c r="B131" s="225" t="n">
        <v>0.4</v>
      </c>
      <c r="C131" s="260"/>
    </row>
    <row r="132" customFormat="false" ht="12.75" hidden="false" customHeight="false" outlineLevel="0" collapsed="false">
      <c r="A132" s="76" t="s">
        <v>393</v>
      </c>
      <c r="B132" s="225" t="n">
        <f aca="false">+'Vigilante 12x36 Noturno Arm'!$C$44</f>
        <v>0.08</v>
      </c>
      <c r="C132" s="260"/>
    </row>
    <row r="133" customFormat="false" ht="12.75" hidden="false" customHeight="false" outlineLevel="0" collapsed="false">
      <c r="A133" s="270" t="s">
        <v>394</v>
      </c>
      <c r="B133" s="270"/>
      <c r="C133" s="271" t="n">
        <f aca="false">ROUND(+B130*B131*B132*B125,2)</f>
        <v>0</v>
      </c>
    </row>
    <row r="134" customFormat="false" ht="12.75" hidden="false" customHeight="false" outlineLevel="0" collapsed="false">
      <c r="A134" s="76" t="s">
        <v>395</v>
      </c>
      <c r="B134" s="225" t="n">
        <v>0.1</v>
      </c>
      <c r="C134" s="260"/>
    </row>
    <row r="135" customFormat="false" ht="12.75" hidden="false" customHeight="false" outlineLevel="0" collapsed="false">
      <c r="A135" s="270" t="s">
        <v>396</v>
      </c>
      <c r="B135" s="270"/>
      <c r="C135" s="320" t="n">
        <f aca="false">ROUND(B134*B132*B130*B125,2)</f>
        <v>0</v>
      </c>
    </row>
    <row r="136" customFormat="false" ht="12.75" hidden="false" customHeight="false" outlineLevel="0" collapsed="false">
      <c r="A136" s="268" t="s">
        <v>397</v>
      </c>
      <c r="B136" s="268"/>
      <c r="C136" s="272" t="n">
        <f aca="false">+C135+C133</f>
        <v>0</v>
      </c>
    </row>
    <row r="138" customFormat="false" ht="12.75" hidden="false" customHeight="false" outlineLevel="0" collapsed="false">
      <c r="A138" s="285" t="s">
        <v>398</v>
      </c>
      <c r="B138" s="285"/>
      <c r="C138" s="285"/>
    </row>
    <row r="139" customFormat="false" ht="12.75" hidden="false" customHeight="false" outlineLevel="0" collapsed="false">
      <c r="A139" s="128" t="s">
        <v>384</v>
      </c>
      <c r="B139" s="129" t="n">
        <f aca="false">+B7</f>
        <v>0</v>
      </c>
      <c r="C139" s="260"/>
    </row>
    <row r="140" customFormat="false" ht="12.75" hidden="false" customHeight="false" outlineLevel="0" collapsed="false">
      <c r="A140" s="128" t="s">
        <v>399</v>
      </c>
      <c r="B140" s="321" t="n">
        <v>30</v>
      </c>
      <c r="C140" s="260"/>
    </row>
    <row r="141" customFormat="false" ht="12.75" hidden="false" customHeight="false" outlineLevel="0" collapsed="false">
      <c r="A141" s="128" t="s">
        <v>385</v>
      </c>
      <c r="B141" s="128" t="n">
        <v>12</v>
      </c>
      <c r="C141" s="260"/>
    </row>
    <row r="142" customFormat="false" ht="12.75" hidden="false" customHeight="false" outlineLevel="0" collapsed="false">
      <c r="A142" s="128" t="s">
        <v>400</v>
      </c>
      <c r="B142" s="128" t="n">
        <v>7</v>
      </c>
      <c r="C142" s="260"/>
    </row>
    <row r="143" customFormat="false" ht="12.75" hidden="false" customHeight="false" outlineLevel="0" collapsed="false">
      <c r="A143" s="246" t="s">
        <v>401</v>
      </c>
      <c r="B143" s="274"/>
      <c r="C143" s="260"/>
    </row>
    <row r="144" customFormat="false" ht="12.75" hidden="false" customHeight="false" outlineLevel="0" collapsed="false">
      <c r="A144" s="268" t="s">
        <v>402</v>
      </c>
      <c r="B144" s="268"/>
      <c r="C144" s="288" t="n">
        <f aca="false">+ROUND(((B139/B140/B141)*B142)*B143,2)</f>
        <v>0</v>
      </c>
    </row>
    <row r="146" customFormat="false" ht="12.75" hidden="false" customHeight="true" outlineLevel="0" collapsed="false">
      <c r="A146" s="317" t="s">
        <v>403</v>
      </c>
      <c r="B146" s="317"/>
      <c r="C146" s="317"/>
    </row>
    <row r="147" customFormat="false" ht="12.75" hidden="false" customHeight="false" outlineLevel="0" collapsed="false">
      <c r="A147" s="318" t="s">
        <v>404</v>
      </c>
      <c r="B147" s="274" t="n">
        <f aca="false">+B143</f>
        <v>0</v>
      </c>
      <c r="C147" s="260"/>
    </row>
    <row r="148" customFormat="false" ht="12.75" hidden="false" customHeight="false" outlineLevel="0" collapsed="false">
      <c r="A148" s="128" t="s">
        <v>390</v>
      </c>
      <c r="B148" s="129" t="n">
        <f aca="false">+'Vigilante 12x36 Noturno Arm'!$D$23</f>
        <v>0</v>
      </c>
      <c r="C148" s="260"/>
    </row>
    <row r="149" customFormat="false" ht="12.75" hidden="false" customHeight="false" outlineLevel="0" collapsed="false">
      <c r="A149" s="128" t="s">
        <v>223</v>
      </c>
      <c r="B149" s="129" t="n">
        <f aca="false">+'Vigilante 12x36 Noturno Arm'!$D$29</f>
        <v>0</v>
      </c>
      <c r="C149" s="260"/>
    </row>
    <row r="150" customFormat="false" ht="12.75" hidden="false" customHeight="false" outlineLevel="0" collapsed="false">
      <c r="A150" s="319" t="s">
        <v>226</v>
      </c>
      <c r="B150" s="129" t="n">
        <f aca="false">+'Vigilante 12x36 Noturno Arm'!$D$31</f>
        <v>0</v>
      </c>
      <c r="C150" s="260"/>
    </row>
    <row r="151" customFormat="false" ht="12.75" hidden="false" customHeight="false" outlineLevel="0" collapsed="false">
      <c r="A151" s="319" t="s">
        <v>228</v>
      </c>
      <c r="B151" s="129" t="n">
        <f aca="false">+'Vigilante 12x36 Noturno Arm'!$D$32</f>
        <v>0</v>
      </c>
      <c r="C151" s="260"/>
    </row>
    <row r="152" customFormat="false" ht="12.75" hidden="false" customHeight="false" outlineLevel="0" collapsed="false">
      <c r="A152" s="309" t="s">
        <v>391</v>
      </c>
      <c r="B152" s="310" t="n">
        <f aca="false">SUM(B148:B151)</f>
        <v>0</v>
      </c>
      <c r="C152" s="260"/>
    </row>
    <row r="153" customFormat="false" ht="12.75" hidden="false" customHeight="false" outlineLevel="0" collapsed="false">
      <c r="A153" s="76" t="s">
        <v>392</v>
      </c>
      <c r="B153" s="225" t="n">
        <v>0.4</v>
      </c>
      <c r="C153" s="260"/>
    </row>
    <row r="154" customFormat="false" ht="12.75" hidden="false" customHeight="false" outlineLevel="0" collapsed="false">
      <c r="A154" s="76" t="s">
        <v>393</v>
      </c>
      <c r="B154" s="225" t="n">
        <f aca="false">+'Vigilante 12x36 Noturno Arm'!$C$44</f>
        <v>0.08</v>
      </c>
      <c r="C154" s="260"/>
    </row>
    <row r="155" customFormat="false" ht="12.75" hidden="false" customHeight="false" outlineLevel="0" collapsed="false">
      <c r="A155" s="270" t="s">
        <v>394</v>
      </c>
      <c r="B155" s="270"/>
      <c r="C155" s="271" t="n">
        <f aca="false">ROUND(+B152*B153*B154*B147,2)</f>
        <v>0</v>
      </c>
    </row>
    <row r="156" customFormat="false" ht="12.75" hidden="false" customHeight="false" outlineLevel="0" collapsed="false">
      <c r="A156" s="76" t="s">
        <v>395</v>
      </c>
      <c r="B156" s="225" t="n">
        <v>0.1</v>
      </c>
      <c r="C156" s="260"/>
    </row>
    <row r="157" customFormat="false" ht="12.75" hidden="false" customHeight="false" outlineLevel="0" collapsed="false">
      <c r="A157" s="270" t="s">
        <v>396</v>
      </c>
      <c r="B157" s="270"/>
      <c r="C157" s="320" t="n">
        <f aca="false">ROUND(B156*B154*B152*B147,2)</f>
        <v>0</v>
      </c>
    </row>
    <row r="158" customFormat="false" ht="12.75" hidden="false" customHeight="false" outlineLevel="0" collapsed="false">
      <c r="A158" s="268" t="s">
        <v>405</v>
      </c>
      <c r="B158" s="268"/>
      <c r="C158" s="272" t="n">
        <f aca="false">+C157+C155</f>
        <v>0</v>
      </c>
    </row>
    <row r="160" customFormat="false" ht="12.75" hidden="false" customHeight="true" outlineLevel="0" collapsed="false">
      <c r="A160" s="317" t="s">
        <v>406</v>
      </c>
      <c r="B160" s="317"/>
      <c r="C160" s="317"/>
    </row>
    <row r="161" customFormat="false" ht="12.75" hidden="false" customHeight="true" outlineLevel="0" collapsed="false">
      <c r="A161" s="322" t="s">
        <v>407</v>
      </c>
      <c r="B161" s="322"/>
      <c r="C161" s="322"/>
    </row>
    <row r="162" customFormat="false" ht="12.75" hidden="false" customHeight="false" outlineLevel="0" collapsed="false">
      <c r="A162" s="322"/>
      <c r="B162" s="322"/>
      <c r="C162" s="322"/>
    </row>
    <row r="163" customFormat="false" ht="12.75" hidden="false" customHeight="false" outlineLevel="0" collapsed="false">
      <c r="A163" s="322"/>
      <c r="B163" s="322"/>
      <c r="C163" s="322"/>
    </row>
    <row r="164" customFormat="false" ht="12.75" hidden="false" customHeight="false" outlineLevel="0" collapsed="false">
      <c r="A164" s="322"/>
      <c r="B164" s="322"/>
      <c r="C164" s="322"/>
    </row>
    <row r="165" customFormat="false" ht="12.75" hidden="false" customHeight="false" outlineLevel="0" collapsed="false">
      <c r="A165" s="323"/>
      <c r="B165" s="323"/>
      <c r="C165" s="323"/>
    </row>
    <row r="166" customFormat="false" ht="12.75" hidden="false" customHeight="true" outlineLevel="0" collapsed="false">
      <c r="A166" s="317" t="s">
        <v>408</v>
      </c>
      <c r="B166" s="317"/>
      <c r="C166" s="317"/>
    </row>
    <row r="167" customFormat="false" ht="12.75" hidden="false" customHeight="false" outlineLevel="0" collapsed="false">
      <c r="A167" s="128" t="s">
        <v>409</v>
      </c>
      <c r="B167" s="129" t="n">
        <f aca="false">+$B$7</f>
        <v>0</v>
      </c>
      <c r="C167" s="260"/>
    </row>
    <row r="168" customFormat="false" ht="12.75" hidden="false" customHeight="false" outlineLevel="0" collapsed="false">
      <c r="A168" s="128" t="s">
        <v>349</v>
      </c>
      <c r="B168" s="128" t="n">
        <v>30</v>
      </c>
      <c r="C168" s="260"/>
    </row>
    <row r="169" customFormat="false" ht="12.75" hidden="false" customHeight="false" outlineLevel="0" collapsed="false">
      <c r="A169" s="128" t="s">
        <v>410</v>
      </c>
      <c r="B169" s="128" t="n">
        <v>12</v>
      </c>
      <c r="C169" s="260"/>
    </row>
    <row r="170" customFormat="false" ht="12.75" hidden="false" customHeight="false" outlineLevel="0" collapsed="false">
      <c r="A170" s="246" t="s">
        <v>411</v>
      </c>
      <c r="B170" s="246"/>
      <c r="C170" s="260"/>
    </row>
    <row r="171" customFormat="false" ht="12.75" hidden="false" customHeight="false" outlineLevel="0" collapsed="false">
      <c r="A171" s="268" t="s">
        <v>412</v>
      </c>
      <c r="B171" s="268"/>
      <c r="C171" s="253" t="n">
        <f aca="false">+ROUND((B167/B168/B169)*B170,2)</f>
        <v>0</v>
      </c>
    </row>
    <row r="173" customFormat="false" ht="12.75" hidden="false" customHeight="true" outlineLevel="0" collapsed="false">
      <c r="A173" s="317" t="s">
        <v>413</v>
      </c>
      <c r="B173" s="317"/>
      <c r="C173" s="317"/>
    </row>
    <row r="174" customFormat="false" ht="12.75" hidden="false" customHeight="false" outlineLevel="0" collapsed="false">
      <c r="A174" s="128" t="s">
        <v>409</v>
      </c>
      <c r="B174" s="129" t="n">
        <f aca="false">+$B$7</f>
        <v>0</v>
      </c>
      <c r="C174" s="260"/>
    </row>
    <row r="175" customFormat="false" ht="12.75" hidden="false" customHeight="false" outlineLevel="0" collapsed="false">
      <c r="A175" s="128" t="s">
        <v>349</v>
      </c>
      <c r="B175" s="128" t="n">
        <v>30</v>
      </c>
      <c r="C175" s="260"/>
    </row>
    <row r="176" customFormat="false" ht="12.75" hidden="false" customHeight="false" outlineLevel="0" collapsed="false">
      <c r="A176" s="128" t="s">
        <v>410</v>
      </c>
      <c r="B176" s="128" t="n">
        <v>12</v>
      </c>
      <c r="C176" s="260"/>
    </row>
    <row r="177" customFormat="false" ht="12.75" hidden="false" customHeight="false" outlineLevel="0" collapsed="false">
      <c r="A177" s="110" t="s">
        <v>414</v>
      </c>
      <c r="B177" s="128" t="n">
        <v>5</v>
      </c>
      <c r="C177" s="260"/>
    </row>
    <row r="178" customFormat="false" ht="12.75" hidden="false" customHeight="false" outlineLevel="0" collapsed="false">
      <c r="A178" s="246" t="s">
        <v>415</v>
      </c>
      <c r="B178" s="274"/>
      <c r="C178" s="260"/>
    </row>
    <row r="179" customFormat="false" ht="12.75" hidden="false" customHeight="false" outlineLevel="0" collapsed="false">
      <c r="A179" s="246" t="s">
        <v>416</v>
      </c>
      <c r="B179" s="274"/>
      <c r="C179" s="260"/>
    </row>
    <row r="180" customFormat="false" ht="12.75" hidden="false" customHeight="false" outlineLevel="0" collapsed="false">
      <c r="A180" s="268" t="s">
        <v>417</v>
      </c>
      <c r="B180" s="268"/>
      <c r="C180" s="288" t="n">
        <f aca="false">ROUND(+B174/B175/B176*B177*B178*B179,2)</f>
        <v>0</v>
      </c>
    </row>
    <row r="182" customFormat="false" ht="12.75" hidden="false" customHeight="true" outlineLevel="0" collapsed="false">
      <c r="A182" s="317" t="s">
        <v>418</v>
      </c>
      <c r="B182" s="317"/>
      <c r="C182" s="317"/>
    </row>
    <row r="183" customFormat="false" ht="12.75" hidden="false" customHeight="false" outlineLevel="0" collapsed="false">
      <c r="A183" s="128" t="s">
        <v>409</v>
      </c>
      <c r="B183" s="129" t="n">
        <f aca="false">+$B$7</f>
        <v>0</v>
      </c>
      <c r="C183" s="260"/>
    </row>
    <row r="184" customFormat="false" ht="12.75" hidden="false" customHeight="false" outlineLevel="0" collapsed="false">
      <c r="A184" s="128" t="s">
        <v>349</v>
      </c>
      <c r="B184" s="128" t="n">
        <v>30</v>
      </c>
      <c r="C184" s="260"/>
    </row>
    <row r="185" customFormat="false" ht="12.75" hidden="false" customHeight="false" outlineLevel="0" collapsed="false">
      <c r="A185" s="128" t="s">
        <v>410</v>
      </c>
      <c r="B185" s="128" t="n">
        <v>12</v>
      </c>
      <c r="C185" s="260"/>
    </row>
    <row r="186" customFormat="false" ht="12.75" hidden="false" customHeight="false" outlineLevel="0" collapsed="false">
      <c r="A186" s="110" t="s">
        <v>419</v>
      </c>
      <c r="B186" s="128" t="n">
        <v>15</v>
      </c>
      <c r="C186" s="260"/>
    </row>
    <row r="187" customFormat="false" ht="12.75" hidden="false" customHeight="false" outlineLevel="0" collapsed="false">
      <c r="A187" s="246" t="s">
        <v>420</v>
      </c>
      <c r="B187" s="274"/>
      <c r="C187" s="260"/>
    </row>
    <row r="188" customFormat="false" ht="12.75" hidden="false" customHeight="false" outlineLevel="0" collapsed="false">
      <c r="A188" s="268" t="s">
        <v>421</v>
      </c>
      <c r="B188" s="268"/>
      <c r="C188" s="288" t="n">
        <f aca="false">ROUND(+B183/B184/B185*B186*B187,2)</f>
        <v>0</v>
      </c>
    </row>
    <row r="190" customFormat="false" ht="12.75" hidden="false" customHeight="true" outlineLevel="0" collapsed="false">
      <c r="A190" s="317" t="s">
        <v>422</v>
      </c>
      <c r="B190" s="317"/>
      <c r="C190" s="317"/>
    </row>
    <row r="191" customFormat="false" ht="12.75" hidden="false" customHeight="false" outlineLevel="0" collapsed="false">
      <c r="A191" s="128" t="s">
        <v>409</v>
      </c>
      <c r="B191" s="129" t="n">
        <f aca="false">+$B$7</f>
        <v>0</v>
      </c>
      <c r="C191" s="260"/>
    </row>
    <row r="192" customFormat="false" ht="12.75" hidden="false" customHeight="false" outlineLevel="0" collapsed="false">
      <c r="A192" s="128" t="s">
        <v>349</v>
      </c>
      <c r="B192" s="128" t="n">
        <v>30</v>
      </c>
      <c r="C192" s="260"/>
    </row>
    <row r="193" customFormat="false" ht="12.75" hidden="false" customHeight="false" outlineLevel="0" collapsed="false">
      <c r="A193" s="128" t="s">
        <v>410</v>
      </c>
      <c r="B193" s="128" t="n">
        <v>12</v>
      </c>
      <c r="C193" s="260"/>
    </row>
    <row r="194" customFormat="false" ht="12.75" hidden="false" customHeight="false" outlineLevel="0" collapsed="false">
      <c r="A194" s="110" t="s">
        <v>419</v>
      </c>
      <c r="B194" s="128" t="n">
        <v>5</v>
      </c>
      <c r="C194" s="260"/>
    </row>
    <row r="195" customFormat="false" ht="12.75" hidden="false" customHeight="false" outlineLevel="0" collapsed="false">
      <c r="A195" s="246" t="s">
        <v>423</v>
      </c>
      <c r="B195" s="274"/>
      <c r="C195" s="260"/>
    </row>
    <row r="196" customFormat="false" ht="12.75" hidden="false" customHeight="false" outlineLevel="0" collapsed="false">
      <c r="A196" s="268" t="s">
        <v>424</v>
      </c>
      <c r="B196" s="268"/>
      <c r="C196" s="288" t="n">
        <f aca="false">ROUND(+B191/B192/B193*B194*B195,2)</f>
        <v>0</v>
      </c>
    </row>
    <row r="198" customFormat="false" ht="12.75" hidden="false" customHeight="false" outlineLevel="0" collapsed="false">
      <c r="A198" s="285" t="s">
        <v>425</v>
      </c>
      <c r="B198" s="285"/>
      <c r="C198" s="285"/>
    </row>
    <row r="199" customFormat="false" ht="12.75" hidden="false" customHeight="false" outlineLevel="0" collapsed="false">
      <c r="A199" s="324" t="s">
        <v>197</v>
      </c>
      <c r="B199" s="325"/>
      <c r="C199" s="129" t="n">
        <f aca="false">+'Vigilante 12x36 Noturno Arm'!D23-'Vigilante 12x36 Noturno Arm'!D21</f>
        <v>0</v>
      </c>
    </row>
    <row r="200" customFormat="false" ht="12.75" hidden="false" customHeight="false" outlineLevel="0" collapsed="false">
      <c r="A200" s="324" t="s">
        <v>256</v>
      </c>
      <c r="B200" s="325"/>
      <c r="C200" s="129" t="n">
        <f aca="false">+'Vigilante 12x36 Noturno Arm'!D68</f>
        <v>0</v>
      </c>
    </row>
    <row r="201" customFormat="false" ht="12.75" hidden="false" customHeight="false" outlineLevel="0" collapsed="false">
      <c r="A201" s="324" t="s">
        <v>287</v>
      </c>
      <c r="B201" s="325"/>
      <c r="C201" s="129" t="n">
        <f aca="false">+'Vigilante 12x36 Noturno Arm'!D116</f>
        <v>0</v>
      </c>
    </row>
    <row r="202" customFormat="false" ht="12.75" hidden="false" customHeight="false" outlineLevel="0" collapsed="false">
      <c r="A202" s="324" t="s">
        <v>268</v>
      </c>
      <c r="B202" s="325"/>
      <c r="C202" s="129" t="n">
        <f aca="false">+'Vigilante 12x36 Noturno Arm'!D107</f>
        <v>0</v>
      </c>
    </row>
    <row r="203" customFormat="false" ht="12.75" hidden="false" customHeight="false" outlineLevel="0" collapsed="false">
      <c r="A203" s="324" t="s">
        <v>276</v>
      </c>
      <c r="B203" s="325"/>
      <c r="C203" s="129" t="n">
        <f aca="false">+'Vigilante 12x36 Noturno Arm'!D108</f>
        <v>0</v>
      </c>
    </row>
    <row r="204" customFormat="false" ht="12.75" hidden="false" customHeight="false" outlineLevel="0" collapsed="false">
      <c r="A204" s="324" t="s">
        <v>258</v>
      </c>
      <c r="B204" s="325"/>
      <c r="C204" s="129" t="n">
        <f aca="false">+'Vigilante 12x36 Noturno Arm'!D79</f>
        <v>0</v>
      </c>
    </row>
    <row r="205" customFormat="false" ht="12.75" hidden="false" customHeight="false" outlineLevel="0" collapsed="false">
      <c r="A205" s="324" t="s">
        <v>337</v>
      </c>
      <c r="B205" s="325"/>
      <c r="C205" s="129" t="n">
        <f aca="false">SUM(C199:C204)</f>
        <v>0</v>
      </c>
    </row>
    <row r="206" customFormat="false" ht="12.75" hidden="false" customHeight="false" outlineLevel="0" collapsed="false">
      <c r="A206" s="324" t="s">
        <v>332</v>
      </c>
      <c r="B206" s="326" t="n">
        <v>220</v>
      </c>
      <c r="C206" s="327"/>
    </row>
    <row r="207" customFormat="false" ht="12.75" hidden="false" customHeight="false" outlineLevel="0" collapsed="false">
      <c r="A207" s="324" t="s">
        <v>338</v>
      </c>
      <c r="B207" s="325"/>
      <c r="C207" s="129" t="n">
        <f aca="false">ROUND(C205/B206,2)</f>
        <v>0</v>
      </c>
    </row>
    <row r="208" customFormat="false" ht="12.75" hidden="false" customHeight="false" outlineLevel="0" collapsed="false">
      <c r="A208" s="128" t="s">
        <v>426</v>
      </c>
      <c r="B208" s="295" t="n">
        <f aca="false">(365.25/12/2)/(7/7)</f>
        <v>15.21875</v>
      </c>
      <c r="C208" s="304"/>
    </row>
    <row r="209" customFormat="false" ht="12.75" hidden="false" customHeight="false" outlineLevel="0" collapsed="false">
      <c r="A209" s="268" t="s">
        <v>356</v>
      </c>
      <c r="B209" s="268"/>
      <c r="C209" s="272" t="n">
        <f aca="false">ROUND(+B208*C207,2)</f>
        <v>0</v>
      </c>
    </row>
    <row r="211" customFormat="false" ht="12.75" hidden="false" customHeight="true" outlineLevel="0" collapsed="false">
      <c r="A211" s="317" t="s">
        <v>427</v>
      </c>
      <c r="B211" s="317"/>
      <c r="C211" s="317"/>
    </row>
    <row r="212" customFormat="false" ht="12.75" hidden="false" customHeight="true" outlineLevel="0" collapsed="false">
      <c r="A212" s="328" t="s">
        <v>428</v>
      </c>
      <c r="B212" s="328"/>
      <c r="C212" s="328"/>
    </row>
    <row r="213" customFormat="false" ht="12.75" hidden="false" customHeight="false" outlineLevel="0" collapsed="false">
      <c r="A213" s="128" t="s">
        <v>409</v>
      </c>
      <c r="B213" s="129" t="n">
        <f aca="false">+$B$7</f>
        <v>0</v>
      </c>
      <c r="C213" s="260"/>
    </row>
    <row r="214" customFormat="false" ht="12.75" hidden="false" customHeight="false" outlineLevel="0" collapsed="false">
      <c r="A214" s="128" t="s">
        <v>429</v>
      </c>
      <c r="B214" s="129" t="n">
        <f aca="false">+B213*(1/3)</f>
        <v>0</v>
      </c>
      <c r="C214" s="260"/>
    </row>
    <row r="215" customFormat="false" ht="12.75" hidden="false" customHeight="false" outlineLevel="0" collapsed="false">
      <c r="A215" s="309" t="s">
        <v>391</v>
      </c>
      <c r="B215" s="310" t="n">
        <f aca="false">SUM(B213:B214)</f>
        <v>0</v>
      </c>
      <c r="C215" s="260"/>
    </row>
    <row r="216" customFormat="false" ht="12.75" hidden="false" customHeight="false" outlineLevel="0" collapsed="false">
      <c r="A216" s="128" t="s">
        <v>430</v>
      </c>
      <c r="B216" s="128" t="n">
        <v>4</v>
      </c>
      <c r="C216" s="260"/>
    </row>
    <row r="217" customFormat="false" ht="12.75" hidden="false" customHeight="false" outlineLevel="0" collapsed="false">
      <c r="A217" s="128" t="s">
        <v>410</v>
      </c>
      <c r="B217" s="128" t="n">
        <v>12</v>
      </c>
      <c r="C217" s="260"/>
    </row>
    <row r="218" customFormat="false" ht="12.75" hidden="false" customHeight="false" outlineLevel="0" collapsed="false">
      <c r="A218" s="246" t="s">
        <v>431</v>
      </c>
      <c r="B218" s="274"/>
      <c r="C218" s="260"/>
    </row>
    <row r="219" customFormat="false" ht="12.75" hidden="false" customHeight="false" outlineLevel="0" collapsed="false">
      <c r="A219" s="246" t="s">
        <v>432</v>
      </c>
      <c r="B219" s="274"/>
      <c r="C219" s="260"/>
    </row>
    <row r="220" customFormat="false" ht="12.75" hidden="false" customHeight="false" outlineLevel="0" collapsed="false">
      <c r="A220" s="268" t="s">
        <v>433</v>
      </c>
      <c r="B220" s="268"/>
      <c r="C220" s="288" t="n">
        <f aca="false">ROUND((((+B215*(B216/B217)/B217)*B218)*B219),2)</f>
        <v>0</v>
      </c>
    </row>
    <row r="221" customFormat="false" ht="18" hidden="false" customHeight="true" outlineLevel="0" collapsed="false">
      <c r="A221" s="268" t="s">
        <v>434</v>
      </c>
      <c r="B221" s="268"/>
      <c r="C221" s="268"/>
    </row>
    <row r="222" customFormat="false" ht="12.75" hidden="false" customHeight="false" outlineLevel="0" collapsed="false">
      <c r="A222" s="128" t="s">
        <v>409</v>
      </c>
      <c r="B222" s="129" t="n">
        <f aca="false">+'Vigilante 12x36 Noturno Arm'!D23</f>
        <v>0</v>
      </c>
      <c r="C222" s="260"/>
    </row>
    <row r="223" customFormat="false" ht="12.75" hidden="false" customHeight="false" outlineLevel="0" collapsed="false">
      <c r="A223" s="128" t="s">
        <v>223</v>
      </c>
      <c r="B223" s="129" t="n">
        <f aca="false">+'Vigilante 12x36 Noturno Arm'!D29</f>
        <v>0</v>
      </c>
      <c r="C223" s="260"/>
    </row>
    <row r="224" customFormat="false" ht="12.75" hidden="false" customHeight="false" outlineLevel="0" collapsed="false">
      <c r="A224" s="309" t="s">
        <v>391</v>
      </c>
      <c r="B224" s="310" t="n">
        <f aca="false">SUM(B222:B223)</f>
        <v>0</v>
      </c>
      <c r="C224" s="260"/>
    </row>
    <row r="225" customFormat="false" ht="12.75" hidden="false" customHeight="false" outlineLevel="0" collapsed="false">
      <c r="A225" s="128" t="s">
        <v>430</v>
      </c>
      <c r="B225" s="128" t="n">
        <v>4</v>
      </c>
      <c r="C225" s="260"/>
    </row>
    <row r="226" customFormat="false" ht="12.75" hidden="false" customHeight="false" outlineLevel="0" collapsed="false">
      <c r="A226" s="128" t="s">
        <v>410</v>
      </c>
      <c r="B226" s="128" t="n">
        <v>12</v>
      </c>
      <c r="C226" s="260"/>
    </row>
    <row r="227" customFormat="false" ht="12.75" hidden="false" customHeight="false" outlineLevel="0" collapsed="false">
      <c r="A227" s="246" t="s">
        <v>431</v>
      </c>
      <c r="B227" s="274"/>
      <c r="C227" s="260"/>
    </row>
    <row r="228" customFormat="false" ht="12.75" hidden="false" customHeight="false" outlineLevel="0" collapsed="false">
      <c r="A228" s="246" t="s">
        <v>432</v>
      </c>
      <c r="B228" s="274"/>
      <c r="C228" s="260"/>
    </row>
    <row r="229" customFormat="false" ht="12.75" hidden="false" customHeight="false" outlineLevel="0" collapsed="false">
      <c r="A229" s="110" t="s">
        <v>435</v>
      </c>
      <c r="B229" s="225" t="n">
        <f aca="false">+'Vigilante 12x36 Noturno Arm'!C45</f>
        <v>0.368</v>
      </c>
      <c r="C229" s="260"/>
    </row>
    <row r="230" customFormat="false" ht="12.75" hidden="false" customHeight="false" outlineLevel="0" collapsed="false">
      <c r="A230" s="268" t="s">
        <v>436</v>
      </c>
      <c r="B230" s="268"/>
      <c r="C230" s="272" t="n">
        <f aca="false">ROUND((((B224*(B225/B226)*B227)*B228)*B229),2)</f>
        <v>0</v>
      </c>
    </row>
  </sheetData>
  <mergeCells count="44"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00:C100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46:C146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90:C190"/>
    <mergeCell ref="A196:B196"/>
    <mergeCell ref="A198:C198"/>
    <mergeCell ref="A209:B209"/>
    <mergeCell ref="A211:C211"/>
    <mergeCell ref="A212:C212"/>
    <mergeCell ref="A220:B220"/>
    <mergeCell ref="A221:C221"/>
    <mergeCell ref="A230:B230"/>
  </mergeCells>
  <printOptions headings="false" gridLines="false" gridLinesSet="true" horizontalCentered="false" verticalCentered="false"/>
  <pageMargins left="1.02361111111111" right="0.118055555555556" top="0.196527777777778" bottom="0.354861111111111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3" manualBreakCount="3">
    <brk id="67" man="true" max="16383" min="0"/>
    <brk id="123" man="true" max="16383" min="0"/>
    <brk id="189" man="true" max="16383" min="0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filterMode="false">
    <tabColor rgb="FF604A7B"/>
    <pageSetUpPr fitToPage="false"/>
  </sheetPr>
  <dimension ref="A1:F17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2" activeCellId="0" sqref="C32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1.75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5" customFormat="false" ht="12.75" hidden="false" customHeight="false" outlineLevel="0" collapsed="false">
      <c r="A5" s="205" t="s">
        <v>188</v>
      </c>
      <c r="B5" s="205"/>
      <c r="C5" s="205"/>
      <c r="D5" s="205"/>
    </row>
    <row r="6" s="19" customFormat="true" ht="28.5" hidden="false" customHeight="true" outlineLevel="0" collapsed="false">
      <c r="A6" s="342" t="n">
        <v>1</v>
      </c>
      <c r="B6" s="343" t="s">
        <v>189</v>
      </c>
      <c r="C6" s="344" t="s">
        <v>441</v>
      </c>
      <c r="D6" s="344"/>
    </row>
    <row r="7" s="19" customFormat="true" ht="12.75" hidden="false" customHeight="false" outlineLevel="0" collapsed="false">
      <c r="A7" s="342" t="n">
        <v>2</v>
      </c>
      <c r="B7" s="343" t="s">
        <v>191</v>
      </c>
      <c r="C7" s="345" t="s">
        <v>24</v>
      </c>
      <c r="D7" s="345"/>
    </row>
    <row r="8" s="19" customFormat="true" ht="12.75" hidden="false" customHeight="false" outlineLevel="0" collapsed="false">
      <c r="A8" s="342" t="n">
        <v>3</v>
      </c>
      <c r="B8" s="343" t="s">
        <v>192</v>
      </c>
      <c r="C8" s="210"/>
      <c r="D8" s="210"/>
    </row>
    <row r="9" s="19" customFormat="true" ht="43.5" hidden="false" customHeight="true" outlineLevel="0" collapsed="false">
      <c r="A9" s="342" t="n">
        <v>4</v>
      </c>
      <c r="B9" s="343" t="s">
        <v>193</v>
      </c>
      <c r="C9" s="346" t="s">
        <v>194</v>
      </c>
      <c r="D9" s="346"/>
    </row>
    <row r="10" s="19" customFormat="true" ht="12.75" hidden="false" customHeight="false" outlineLevel="0" collapsed="false">
      <c r="A10" s="342" t="n">
        <v>5</v>
      </c>
      <c r="B10" s="343" t="s">
        <v>195</v>
      </c>
      <c r="C10" s="347" t="n">
        <v>42795</v>
      </c>
      <c r="D10" s="347"/>
    </row>
    <row r="11" customFormat="false" ht="12.75" hidden="false" customHeight="false" outlineLevel="0" collapsed="false">
      <c r="D11" s="213"/>
    </row>
    <row r="12" customFormat="false" ht="12.75" hidden="false" customHeight="false" outlineLevel="0" collapsed="false">
      <c r="A12" s="254" t="s">
        <v>196</v>
      </c>
      <c r="B12" s="254"/>
      <c r="C12" s="254"/>
      <c r="D12" s="254"/>
    </row>
    <row r="13" customFormat="false" ht="12.75" hidden="false" customHeight="false" outlineLevel="0" collapsed="false">
      <c r="A13" s="215" t="n">
        <v>1</v>
      </c>
      <c r="B13" s="216" t="s">
        <v>197</v>
      </c>
      <c r="C13" s="17" t="s">
        <v>198</v>
      </c>
      <c r="D13" s="217" t="s">
        <v>199</v>
      </c>
    </row>
    <row r="14" customFormat="false" ht="12.75" hidden="false" customHeight="false" outlineLevel="0" collapsed="false">
      <c r="A14" s="10" t="s">
        <v>14</v>
      </c>
      <c r="B14" s="10" t="s">
        <v>200</v>
      </c>
      <c r="C14" s="10"/>
      <c r="D14" s="29" t="n">
        <f aca="false">+C8</f>
        <v>0</v>
      </c>
    </row>
    <row r="15" customFormat="false" ht="12.75" hidden="false" customHeight="false" outlineLevel="0" collapsed="false">
      <c r="A15" s="10" t="s">
        <v>16</v>
      </c>
      <c r="B15" s="218" t="s">
        <v>201</v>
      </c>
      <c r="C15" s="219" t="n">
        <v>0.3</v>
      </c>
      <c r="D15" s="29" t="n">
        <f aca="false">+(D14+D24)*C15</f>
        <v>0</v>
      </c>
      <c r="E15" s="103"/>
    </row>
    <row r="16" customFormat="false" ht="12.75" hidden="false" customHeight="false" outlineLevel="0" collapsed="false">
      <c r="A16" s="10" t="s">
        <v>19</v>
      </c>
      <c r="B16" s="218" t="s">
        <v>202</v>
      </c>
      <c r="C16" s="219"/>
      <c r="D16" s="29"/>
    </row>
    <row r="17" customFormat="false" ht="12.75" hidden="false" customHeight="false" outlineLevel="0" collapsed="false">
      <c r="A17" s="10" t="s">
        <v>21</v>
      </c>
      <c r="B17" s="10" t="s">
        <v>203</v>
      </c>
      <c r="C17" s="10"/>
      <c r="D17" s="29"/>
    </row>
    <row r="18" customFormat="false" ht="12.75" hidden="false" customHeight="false" outlineLevel="0" collapsed="false">
      <c r="A18" s="10" t="s">
        <v>204</v>
      </c>
      <c r="B18" s="10" t="s">
        <v>205</v>
      </c>
      <c r="C18" s="10"/>
      <c r="D18" s="29"/>
    </row>
    <row r="19" customFormat="false" ht="12.75" hidden="false" customHeight="false" outlineLevel="0" collapsed="false">
      <c r="A19" s="10" t="s">
        <v>206</v>
      </c>
      <c r="B19" s="10" t="s">
        <v>207</v>
      </c>
      <c r="C19" s="10"/>
      <c r="D19" s="29"/>
    </row>
    <row r="20" customFormat="false" ht="12.75" hidden="false" customHeight="false" outlineLevel="0" collapsed="false">
      <c r="A20" s="10" t="s">
        <v>208</v>
      </c>
      <c r="B20" s="10" t="s">
        <v>209</v>
      </c>
      <c r="C20" s="10"/>
      <c r="D20" s="29"/>
    </row>
    <row r="21" customFormat="false" ht="12.75" hidden="false" customHeight="false" outlineLevel="0" collapsed="false">
      <c r="A21" s="10" t="s">
        <v>210</v>
      </c>
      <c r="B21" s="10" t="s">
        <v>211</v>
      </c>
      <c r="C21" s="10"/>
      <c r="D21" s="29"/>
    </row>
    <row r="22" customFormat="false" ht="12.75" hidden="false" customHeight="false" outlineLevel="0" collapsed="false">
      <c r="A22" s="10" t="s">
        <v>212</v>
      </c>
      <c r="B22" s="218" t="s">
        <v>213</v>
      </c>
      <c r="C22" s="219"/>
      <c r="D22" s="29"/>
    </row>
    <row r="23" customFormat="false" ht="12.75" hidden="false" customHeight="false" outlineLevel="0" collapsed="false">
      <c r="A23" s="10" t="s">
        <v>214</v>
      </c>
      <c r="B23" s="10" t="s">
        <v>215</v>
      </c>
      <c r="C23" s="10"/>
      <c r="D23" s="78"/>
      <c r="F23" s="220"/>
    </row>
    <row r="24" customFormat="false" ht="12.75" hidden="false" customHeight="false" outlineLevel="0" collapsed="false">
      <c r="A24" s="10" t="s">
        <v>216</v>
      </c>
      <c r="B24" s="10" t="s">
        <v>442</v>
      </c>
      <c r="C24" s="10"/>
      <c r="D24" s="78" t="n">
        <f aca="false">+'Calculo 5x2 12h Arm'!C50</f>
        <v>0</v>
      </c>
      <c r="F24" s="220"/>
    </row>
    <row r="25" customFormat="false" ht="12.75" hidden="false" customHeight="false" outlineLevel="0" collapsed="false">
      <c r="A25" s="10" t="s">
        <v>443</v>
      </c>
      <c r="B25" s="10" t="s">
        <v>217</v>
      </c>
      <c r="C25" s="10"/>
      <c r="D25" s="78"/>
    </row>
    <row r="26" customFormat="false" ht="12.75" hidden="false" customHeight="false" outlineLevel="0" collapsed="false">
      <c r="A26" s="205" t="s">
        <v>218</v>
      </c>
      <c r="B26" s="205"/>
      <c r="C26" s="205"/>
      <c r="D26" s="27" t="n">
        <f aca="false">SUM(D14:D25)</f>
        <v>0</v>
      </c>
    </row>
    <row r="28" customFormat="false" ht="12.75" hidden="false" customHeight="false" outlineLevel="0" collapsed="false">
      <c r="A28" s="254" t="s">
        <v>219</v>
      </c>
      <c r="B28" s="254"/>
      <c r="C28" s="254"/>
      <c r="D28" s="254"/>
    </row>
    <row r="30" customFormat="false" ht="12.75" hidden="false" customHeight="false" outlineLevel="0" collapsed="false">
      <c r="A30" s="254" t="s">
        <v>220</v>
      </c>
      <c r="B30" s="254"/>
      <c r="C30" s="254"/>
      <c r="D30" s="254"/>
    </row>
    <row r="31" customFormat="false" ht="12.75" hidden="false" customHeight="false" outlineLevel="0" collapsed="false">
      <c r="A31" s="221" t="s">
        <v>221</v>
      </c>
      <c r="B31" s="222" t="s">
        <v>222</v>
      </c>
      <c r="C31" s="223" t="s">
        <v>198</v>
      </c>
      <c r="D31" s="224" t="s">
        <v>199</v>
      </c>
    </row>
    <row r="32" customFormat="false" ht="12.75" hidden="false" customHeight="false" outlineLevel="0" collapsed="false">
      <c r="A32" s="10" t="s">
        <v>14</v>
      </c>
      <c r="B32" s="128" t="s">
        <v>223</v>
      </c>
      <c r="C32" s="225" t="e">
        <f aca="false">ROUND(+D32/$D$26,4)</f>
        <v>#DIV/0!</v>
      </c>
      <c r="D32" s="78" t="n">
        <f aca="false">ROUND(+D26/12,2)</f>
        <v>0</v>
      </c>
    </row>
    <row r="33" customFormat="false" ht="12.75" hidden="false" customHeight="false" outlineLevel="0" collapsed="false">
      <c r="A33" s="226" t="s">
        <v>16</v>
      </c>
      <c r="B33" s="227" t="s">
        <v>224</v>
      </c>
      <c r="C33" s="228" t="e">
        <f aca="false">ROUND(+D33/$D$26,4)</f>
        <v>#DIV/0!</v>
      </c>
      <c r="D33" s="229" t="n">
        <f aca="false">+D34+D35</f>
        <v>0</v>
      </c>
    </row>
    <row r="34" customFormat="false" ht="12.75" hidden="false" customHeight="false" outlineLevel="0" collapsed="false">
      <c r="A34" s="10" t="s">
        <v>225</v>
      </c>
      <c r="B34" s="230" t="s">
        <v>226</v>
      </c>
      <c r="C34" s="231" t="e">
        <f aca="false">ROUND(+D34/$D$26,4)</f>
        <v>#DIV/0!</v>
      </c>
      <c r="D34" s="232" t="n">
        <f aca="false">ROUND(+D26/12,2)</f>
        <v>0</v>
      </c>
    </row>
    <row r="35" customFormat="false" ht="12.75" hidden="false" customHeight="false" outlineLevel="0" collapsed="false">
      <c r="A35" s="10" t="s">
        <v>227</v>
      </c>
      <c r="B35" s="230" t="s">
        <v>228</v>
      </c>
      <c r="C35" s="231" t="e">
        <f aca="false">ROUND(+D35/$D$26,4)</f>
        <v>#DIV/0!</v>
      </c>
      <c r="D35" s="232" t="n">
        <f aca="false">ROUND(+(D26*1/3)/12,2)</f>
        <v>0</v>
      </c>
    </row>
    <row r="36" customFormat="false" ht="12.75" hidden="false" customHeight="false" outlineLevel="0" collapsed="false">
      <c r="A36" s="205" t="s">
        <v>218</v>
      </c>
      <c r="B36" s="205"/>
      <c r="C36" s="205"/>
      <c r="D36" s="27" t="n">
        <f aca="false">+D33+D32</f>
        <v>0</v>
      </c>
    </row>
    <row r="38" customFormat="false" ht="12.75" hidden="false" customHeight="true" outlineLevel="0" collapsed="false">
      <c r="A38" s="262" t="s">
        <v>229</v>
      </c>
      <c r="B38" s="262"/>
      <c r="C38" s="262"/>
      <c r="D38" s="262"/>
    </row>
    <row r="39" customFormat="false" ht="12.75" hidden="false" customHeight="false" outlineLevel="0" collapsed="false">
      <c r="A39" s="221" t="s">
        <v>230</v>
      </c>
      <c r="B39" s="234" t="s">
        <v>231</v>
      </c>
      <c r="C39" s="223" t="s">
        <v>198</v>
      </c>
      <c r="D39" s="224" t="s">
        <v>199</v>
      </c>
    </row>
    <row r="40" customFormat="false" ht="12.75" hidden="false" customHeight="false" outlineLevel="0" collapsed="false">
      <c r="A40" s="10" t="s">
        <v>14</v>
      </c>
      <c r="B40" s="128" t="s">
        <v>232</v>
      </c>
      <c r="C40" s="225" t="n">
        <v>0.2</v>
      </c>
      <c r="D40" s="129" t="n">
        <f aca="false">ROUND(C40*($D$26+$D$36),2)</f>
        <v>0</v>
      </c>
    </row>
    <row r="41" customFormat="false" ht="12.75" hidden="false" customHeight="false" outlineLevel="0" collapsed="false">
      <c r="A41" s="10" t="s">
        <v>16</v>
      </c>
      <c r="B41" s="128" t="s">
        <v>233</v>
      </c>
      <c r="C41" s="225" t="n">
        <v>0.025</v>
      </c>
      <c r="D41" s="129" t="n">
        <f aca="false">ROUND(C41*($D$26+$D$36),2)</f>
        <v>0</v>
      </c>
    </row>
    <row r="42" customFormat="false" ht="12.75" hidden="false" customHeight="false" outlineLevel="0" collapsed="false">
      <c r="A42" s="10" t="s">
        <v>19</v>
      </c>
      <c r="B42" s="128" t="s">
        <v>234</v>
      </c>
      <c r="C42" s="225" t="n">
        <f aca="false">3%</f>
        <v>0.03</v>
      </c>
      <c r="D42" s="129" t="n">
        <f aca="false">ROUND(C42*($D$26+$D$36),2)</f>
        <v>0</v>
      </c>
    </row>
    <row r="43" customFormat="false" ht="12.75" hidden="false" customHeight="false" outlineLevel="0" collapsed="false">
      <c r="A43" s="10" t="s">
        <v>21</v>
      </c>
      <c r="B43" s="128" t="s">
        <v>235</v>
      </c>
      <c r="C43" s="225" t="n">
        <v>0.015</v>
      </c>
      <c r="D43" s="129" t="n">
        <f aca="false">ROUND(C43*($D$26+$D$36),2)</f>
        <v>0</v>
      </c>
    </row>
    <row r="44" customFormat="false" ht="12.75" hidden="false" customHeight="false" outlineLevel="0" collapsed="false">
      <c r="A44" s="10" t="s">
        <v>204</v>
      </c>
      <c r="B44" s="128" t="s">
        <v>236</v>
      </c>
      <c r="C44" s="225" t="n">
        <v>0.01</v>
      </c>
      <c r="D44" s="129" t="n">
        <f aca="false">ROUND(C44*($D$26+$D$36),2)</f>
        <v>0</v>
      </c>
    </row>
    <row r="45" customFormat="false" ht="12.75" hidden="false" customHeight="false" outlineLevel="0" collapsed="false">
      <c r="A45" s="10" t="s">
        <v>206</v>
      </c>
      <c r="B45" s="128" t="s">
        <v>237</v>
      </c>
      <c r="C45" s="225" t="n">
        <v>0.006</v>
      </c>
      <c r="D45" s="129" t="n">
        <f aca="false">ROUND(C45*($D$26+$D$36),2)</f>
        <v>0</v>
      </c>
    </row>
    <row r="46" customFormat="false" ht="12.75" hidden="false" customHeight="false" outlineLevel="0" collapsed="false">
      <c r="A46" s="10" t="s">
        <v>208</v>
      </c>
      <c r="B46" s="128" t="s">
        <v>238</v>
      </c>
      <c r="C46" s="225" t="n">
        <v>0.002</v>
      </c>
      <c r="D46" s="129" t="n">
        <f aca="false">ROUND(C46*($D$26+$D$36),2)</f>
        <v>0</v>
      </c>
    </row>
    <row r="47" customFormat="false" ht="12.75" hidden="false" customHeight="false" outlineLevel="0" collapsed="false">
      <c r="A47" s="10" t="s">
        <v>210</v>
      </c>
      <c r="B47" s="128" t="s">
        <v>239</v>
      </c>
      <c r="C47" s="225" t="n">
        <v>0.08</v>
      </c>
      <c r="D47" s="129" t="n">
        <f aca="false">ROUND(C47*($D$26+$D$36),2)</f>
        <v>0</v>
      </c>
    </row>
    <row r="48" customFormat="false" ht="12.75" hidden="false" customHeight="false" outlineLevel="0" collapsed="false">
      <c r="A48" s="235" t="s">
        <v>218</v>
      </c>
      <c r="B48" s="236"/>
      <c r="C48" s="237" t="n">
        <f aca="false">SUM(C40:C47)</f>
        <v>0.368</v>
      </c>
      <c r="D48" s="238" t="n">
        <f aca="false">SUM(D40:D47)</f>
        <v>0</v>
      </c>
    </row>
    <row r="49" customFormat="false" ht="12.75" hidden="false" customHeight="false" outlineLevel="0" collapsed="false">
      <c r="A49" s="239"/>
      <c r="B49" s="239"/>
      <c r="C49" s="239"/>
      <c r="D49" s="239"/>
    </row>
    <row r="50" customFormat="false" ht="12.75" hidden="false" customHeight="true" outlineLevel="0" collapsed="false">
      <c r="A50" s="262" t="s">
        <v>240</v>
      </c>
      <c r="B50" s="262"/>
      <c r="C50" s="262"/>
      <c r="D50" s="262"/>
    </row>
    <row r="51" customFormat="false" ht="12.75" hidden="false" customHeight="false" outlineLevel="0" collapsed="false">
      <c r="A51" s="221" t="s">
        <v>241</v>
      </c>
      <c r="B51" s="234" t="s">
        <v>242</v>
      </c>
      <c r="C51" s="223"/>
      <c r="D51" s="224" t="s">
        <v>199</v>
      </c>
    </row>
    <row r="52" customFormat="false" ht="12.75" hidden="false" customHeight="false" outlineLevel="0" collapsed="false">
      <c r="A52" s="240" t="s">
        <v>14</v>
      </c>
      <c r="B52" s="128" t="s">
        <v>243</v>
      </c>
      <c r="C52" s="241"/>
      <c r="D52" s="129" t="n">
        <f aca="false">+'Calculo 5x2 12h Arm'!C121</f>
        <v>0</v>
      </c>
    </row>
    <row r="53" s="34" customFormat="true" ht="12.75" hidden="false" customHeight="false" outlineLevel="0" collapsed="false">
      <c r="A53" s="242" t="s">
        <v>244</v>
      </c>
      <c r="B53" s="110" t="s">
        <v>245</v>
      </c>
      <c r="C53" s="225" t="n">
        <f aca="false">+$C$138+$C$139</f>
        <v>0.0365</v>
      </c>
      <c r="D53" s="243" t="n">
        <f aca="false">+(C53*D52)*-1</f>
        <v>0</v>
      </c>
      <c r="F53" s="116"/>
    </row>
    <row r="54" customFormat="false" ht="12.75" hidden="false" customHeight="false" outlineLevel="0" collapsed="false">
      <c r="A54" s="240" t="s">
        <v>16</v>
      </c>
      <c r="B54" s="128" t="s">
        <v>246</v>
      </c>
      <c r="C54" s="241"/>
      <c r="D54" s="129" t="n">
        <f aca="false">+'Calculo 5x2 12h Arm'!C130</f>
        <v>0</v>
      </c>
      <c r="F54" s="244"/>
    </row>
    <row r="55" s="34" customFormat="true" ht="12.75" hidden="false" customHeight="false" outlineLevel="0" collapsed="false">
      <c r="A55" s="242" t="s">
        <v>225</v>
      </c>
      <c r="B55" s="110" t="s">
        <v>245</v>
      </c>
      <c r="C55" s="225" t="n">
        <f aca="false">+$C$138+$C$139</f>
        <v>0.0365</v>
      </c>
      <c r="D55" s="243" t="n">
        <f aca="false">+(C55*D54)*-1</f>
        <v>0</v>
      </c>
      <c r="F55" s="245"/>
    </row>
    <row r="56" customFormat="false" ht="12.75" hidden="false" customHeight="false" outlineLevel="0" collapsed="false">
      <c r="A56" s="128" t="s">
        <v>19</v>
      </c>
      <c r="B56" s="128" t="s">
        <v>247</v>
      </c>
      <c r="C56" s="241"/>
      <c r="D56" s="129"/>
      <c r="F56" s="244"/>
    </row>
    <row r="57" customFormat="false" ht="12.75" hidden="false" customHeight="false" outlineLevel="0" collapsed="false">
      <c r="A57" s="242" t="s">
        <v>248</v>
      </c>
      <c r="B57" s="110" t="s">
        <v>245</v>
      </c>
      <c r="C57" s="225" t="n">
        <f aca="false">+$C$138+$C$139</f>
        <v>0.0365</v>
      </c>
      <c r="D57" s="243" t="n">
        <f aca="false">+(C57*D56)*-1</f>
        <v>0</v>
      </c>
      <c r="F57" s="244"/>
    </row>
    <row r="58" customFormat="false" ht="12.75" hidden="false" customHeight="false" outlineLevel="0" collapsed="false">
      <c r="A58" s="246" t="s">
        <v>21</v>
      </c>
      <c r="B58" s="246" t="s">
        <v>249</v>
      </c>
      <c r="C58" s="241"/>
      <c r="D58" s="247"/>
      <c r="F58" s="244"/>
    </row>
    <row r="59" customFormat="false" ht="12.75" hidden="false" customHeight="false" outlineLevel="0" collapsed="false">
      <c r="A59" s="242" t="s">
        <v>250</v>
      </c>
      <c r="B59" s="110" t="s">
        <v>245</v>
      </c>
      <c r="C59" s="225" t="n">
        <f aca="false">+$C$138+$C$139</f>
        <v>0.0365</v>
      </c>
      <c r="D59" s="243" t="n">
        <f aca="false">+(C59*D58)*-1</f>
        <v>0</v>
      </c>
      <c r="F59" s="244"/>
    </row>
    <row r="60" customFormat="false" ht="12.75" hidden="false" customHeight="false" outlineLevel="0" collapsed="false">
      <c r="A60" s="246" t="s">
        <v>204</v>
      </c>
      <c r="B60" s="246" t="s">
        <v>251</v>
      </c>
      <c r="C60" s="241"/>
      <c r="D60" s="248"/>
      <c r="F60" s="249"/>
    </row>
    <row r="61" customFormat="false" ht="12.75" hidden="false" customHeight="false" outlineLevel="0" collapsed="false">
      <c r="A61" s="242" t="s">
        <v>252</v>
      </c>
      <c r="B61" s="110" t="s">
        <v>245</v>
      </c>
      <c r="C61" s="225" t="n">
        <f aca="false">+$C$138+$C$139</f>
        <v>0.0365</v>
      </c>
      <c r="D61" s="243" t="n">
        <f aca="false">+(C61*D60)*-1</f>
        <v>0</v>
      </c>
    </row>
    <row r="62" customFormat="false" ht="12.75" hidden="false" customHeight="false" outlineLevel="0" collapsed="false">
      <c r="A62" s="246" t="s">
        <v>206</v>
      </c>
      <c r="B62" s="250" t="s">
        <v>253</v>
      </c>
      <c r="C62" s="250"/>
      <c r="D62" s="247"/>
    </row>
    <row r="63" customFormat="false" ht="12.75" hidden="false" customHeight="false" outlineLevel="0" collapsed="false">
      <c r="A63" s="242" t="s">
        <v>254</v>
      </c>
      <c r="B63" s="110" t="s">
        <v>245</v>
      </c>
      <c r="C63" s="225" t="n">
        <f aca="false">+$C$138+$C$139</f>
        <v>0.0365</v>
      </c>
      <c r="D63" s="243" t="n">
        <f aca="false">+(C63*D62)*-1</f>
        <v>0</v>
      </c>
    </row>
    <row r="64" customFormat="false" ht="12.75" hidden="false" customHeight="false" outlineLevel="0" collapsed="false">
      <c r="A64" s="205" t="s">
        <v>218</v>
      </c>
      <c r="B64" s="205"/>
      <c r="C64" s="251"/>
      <c r="D64" s="252" t="n">
        <f aca="false">SUM(D52:D63)</f>
        <v>0</v>
      </c>
    </row>
    <row r="66" customFormat="false" ht="12.75" hidden="false" customHeight="false" outlineLevel="0" collapsed="false">
      <c r="A66" s="254" t="s">
        <v>255</v>
      </c>
      <c r="B66" s="254"/>
      <c r="C66" s="254"/>
      <c r="D66" s="254"/>
    </row>
    <row r="67" customFormat="false" ht="12.75" hidden="false" customHeight="false" outlineLevel="0" collapsed="false">
      <c r="A67" s="253" t="n">
        <v>2</v>
      </c>
      <c r="B67" s="254" t="s">
        <v>256</v>
      </c>
      <c r="C67" s="254"/>
      <c r="D67" s="255" t="s">
        <v>199</v>
      </c>
    </row>
    <row r="68" customFormat="false" ht="12.75" hidden="false" customHeight="false" outlineLevel="0" collapsed="false">
      <c r="A68" s="76" t="s">
        <v>221</v>
      </c>
      <c r="B68" s="256" t="s">
        <v>222</v>
      </c>
      <c r="C68" s="256"/>
      <c r="D68" s="129" t="n">
        <f aca="false">+D36</f>
        <v>0</v>
      </c>
    </row>
    <row r="69" customFormat="false" ht="12.75" hidden="false" customHeight="false" outlineLevel="0" collapsed="false">
      <c r="A69" s="76" t="s">
        <v>230</v>
      </c>
      <c r="B69" s="256" t="s">
        <v>231</v>
      </c>
      <c r="C69" s="256"/>
      <c r="D69" s="129" t="n">
        <f aca="false">+D48</f>
        <v>0</v>
      </c>
    </row>
    <row r="70" customFormat="false" ht="12.75" hidden="false" customHeight="false" outlineLevel="0" collapsed="false">
      <c r="A70" s="76" t="s">
        <v>241</v>
      </c>
      <c r="B70" s="256" t="s">
        <v>242</v>
      </c>
      <c r="C70" s="256"/>
      <c r="D70" s="257" t="n">
        <f aca="false">+D64</f>
        <v>0</v>
      </c>
    </row>
    <row r="71" customFormat="false" ht="12.75" hidden="false" customHeight="false" outlineLevel="0" collapsed="false">
      <c r="A71" s="254" t="s">
        <v>218</v>
      </c>
      <c r="B71" s="254"/>
      <c r="C71" s="254"/>
      <c r="D71" s="258" t="n">
        <f aca="false">SUM(D68:D70)</f>
        <v>0</v>
      </c>
    </row>
    <row r="73" customFormat="false" ht="12.75" hidden="false" customHeight="false" outlineLevel="0" collapsed="false">
      <c r="A73" s="254" t="s">
        <v>257</v>
      </c>
      <c r="B73" s="254"/>
      <c r="C73" s="254"/>
      <c r="D73" s="254"/>
    </row>
    <row r="75" customFormat="false" ht="12.75" hidden="false" customHeight="false" outlineLevel="0" collapsed="false">
      <c r="A75" s="25" t="n">
        <v>3</v>
      </c>
      <c r="B75" s="222" t="s">
        <v>258</v>
      </c>
      <c r="C75" s="17" t="s">
        <v>198</v>
      </c>
      <c r="D75" s="17" t="s">
        <v>199</v>
      </c>
    </row>
    <row r="76" customFormat="false" ht="12.75" hidden="false" customHeight="false" outlineLevel="0" collapsed="false">
      <c r="A76" s="10" t="s">
        <v>14</v>
      </c>
      <c r="B76" s="110" t="s">
        <v>259</v>
      </c>
      <c r="C76" s="225" t="e">
        <f aca="false">+D76/$D$26</f>
        <v>#DIV/0!</v>
      </c>
      <c r="D76" s="259" t="n">
        <f aca="false">+'Calculo 5x2 12h Arm'!C136</f>
        <v>0</v>
      </c>
    </row>
    <row r="77" customFormat="false" ht="12.75" hidden="false" customHeight="false" outlineLevel="0" collapsed="false">
      <c r="A77" s="10" t="s">
        <v>16</v>
      </c>
      <c r="B77" s="128" t="s">
        <v>260</v>
      </c>
      <c r="C77" s="260"/>
      <c r="D77" s="78" t="n">
        <f aca="false">ROUND(+D76*$C$47,2)</f>
        <v>0</v>
      </c>
    </row>
    <row r="78" customFormat="false" ht="25.5" hidden="false" customHeight="false" outlineLevel="0" collapsed="false">
      <c r="A78" s="10" t="s">
        <v>19</v>
      </c>
      <c r="B78" s="261" t="s">
        <v>261</v>
      </c>
      <c r="C78" s="225" t="e">
        <f aca="false">+D78/$D$26</f>
        <v>#DIV/0!</v>
      </c>
      <c r="D78" s="78" t="n">
        <f aca="false">+'Calculo 5x2 12h Arm'!C150</f>
        <v>0</v>
      </c>
    </row>
    <row r="79" customFormat="false" ht="12.75" hidden="false" customHeight="false" outlineLevel="0" collapsed="false">
      <c r="A79" s="256" t="s">
        <v>21</v>
      </c>
      <c r="B79" s="128" t="s">
        <v>262</v>
      </c>
      <c r="C79" s="225" t="e">
        <f aca="false">+D79/$D$26</f>
        <v>#DIV/0!</v>
      </c>
      <c r="D79" s="78" t="n">
        <f aca="false">+'Calculo 5x2 12h Arm'!C158</f>
        <v>0</v>
      </c>
    </row>
    <row r="80" customFormat="false" ht="25.5" hidden="false" customHeight="false" outlineLevel="0" collapsed="false">
      <c r="A80" s="256" t="s">
        <v>204</v>
      </c>
      <c r="B80" s="261" t="s">
        <v>263</v>
      </c>
      <c r="C80" s="260"/>
      <c r="D80" s="78" t="n">
        <f aca="false">+D79*C48</f>
        <v>0</v>
      </c>
    </row>
    <row r="81" customFormat="false" ht="25.5" hidden="false" customHeight="false" outlineLevel="0" collapsed="false">
      <c r="A81" s="256" t="s">
        <v>206</v>
      </c>
      <c r="B81" s="261" t="s">
        <v>264</v>
      </c>
      <c r="C81" s="225" t="e">
        <f aca="false">+D81/$D$26</f>
        <v>#DIV/0!</v>
      </c>
      <c r="D81" s="129" t="n">
        <f aca="false">+'Calculo 5x2 12h Arm'!C172</f>
        <v>0</v>
      </c>
    </row>
    <row r="82" customFormat="false" ht="12.75" hidden="false" customHeight="false" outlineLevel="0" collapsed="false">
      <c r="A82" s="205" t="s">
        <v>218</v>
      </c>
      <c r="B82" s="205"/>
      <c r="C82" s="205"/>
      <c r="D82" s="26" t="n">
        <f aca="false">SUM(D76:D81)</f>
        <v>0</v>
      </c>
    </row>
    <row r="84" customFormat="false" ht="12.75" hidden="false" customHeight="false" outlineLevel="0" collapsed="false">
      <c r="A84" s="254" t="s">
        <v>265</v>
      </c>
      <c r="B84" s="254"/>
      <c r="C84" s="254"/>
      <c r="D84" s="254"/>
    </row>
    <row r="86" customFormat="false" ht="12.75" hidden="false" customHeight="true" outlineLevel="0" collapsed="false">
      <c r="A86" s="262" t="s">
        <v>266</v>
      </c>
      <c r="B86" s="262"/>
      <c r="C86" s="262"/>
      <c r="D86" s="262"/>
    </row>
    <row r="87" customFormat="false" ht="12.75" hidden="false" customHeight="false" outlineLevel="0" collapsed="false">
      <c r="A87" s="25" t="s">
        <v>267</v>
      </c>
      <c r="B87" s="205" t="s">
        <v>268</v>
      </c>
      <c r="C87" s="205"/>
      <c r="D87" s="17" t="s">
        <v>199</v>
      </c>
    </row>
    <row r="88" customFormat="false" ht="12.75" hidden="false" customHeight="false" outlineLevel="0" collapsed="false">
      <c r="A88" s="128" t="s">
        <v>14</v>
      </c>
      <c r="B88" s="263" t="s">
        <v>269</v>
      </c>
      <c r="C88" s="263"/>
      <c r="D88" s="78"/>
    </row>
    <row r="89" customFormat="false" ht="12.75" hidden="false" customHeight="false" outlineLevel="0" collapsed="false">
      <c r="A89" s="110" t="s">
        <v>16</v>
      </c>
      <c r="B89" s="264" t="s">
        <v>268</v>
      </c>
      <c r="C89" s="264"/>
      <c r="D89" s="78" t="n">
        <f aca="false">+'Calculo 5x2 12h Arm'!C185</f>
        <v>0</v>
      </c>
    </row>
    <row r="90" s="34" customFormat="true" ht="12.75" hidden="false" customHeight="false" outlineLevel="0" collapsed="false">
      <c r="A90" s="110" t="s">
        <v>19</v>
      </c>
      <c r="B90" s="264" t="s">
        <v>270</v>
      </c>
      <c r="C90" s="264"/>
      <c r="D90" s="78" t="n">
        <f aca="false">+'Calculo 5x2 12h Arm'!C194</f>
        <v>0</v>
      </c>
    </row>
    <row r="91" s="34" customFormat="true" ht="12.75" hidden="false" customHeight="false" outlineLevel="0" collapsed="false">
      <c r="A91" s="110" t="s">
        <v>21</v>
      </c>
      <c r="B91" s="264" t="s">
        <v>271</v>
      </c>
      <c r="C91" s="264"/>
      <c r="D91" s="78" t="n">
        <f aca="false">+'Calculo 5x2 12h Arm'!C202</f>
        <v>0</v>
      </c>
    </row>
    <row r="92" s="34" customFormat="true" ht="13.5" hidden="false" customHeight="false" outlineLevel="0" collapsed="false">
      <c r="A92" s="110" t="s">
        <v>204</v>
      </c>
      <c r="B92" s="264" t="s">
        <v>272</v>
      </c>
      <c r="C92" s="264"/>
      <c r="D92" s="78"/>
    </row>
    <row r="93" s="34" customFormat="true" ht="12.75" hidden="false" customHeight="false" outlineLevel="0" collapsed="false">
      <c r="A93" s="110" t="s">
        <v>206</v>
      </c>
      <c r="B93" s="264" t="s">
        <v>273</v>
      </c>
      <c r="C93" s="264"/>
      <c r="D93" s="78" t="n">
        <f aca="false">+'Calculo 5x2 12h Arm'!C210</f>
        <v>0</v>
      </c>
    </row>
    <row r="94" customFormat="false" ht="12.75" hidden="false" customHeight="false" outlineLevel="0" collapsed="false">
      <c r="A94" s="128" t="s">
        <v>208</v>
      </c>
      <c r="B94" s="263" t="s">
        <v>217</v>
      </c>
      <c r="C94" s="263"/>
      <c r="D94" s="78"/>
    </row>
    <row r="95" customFormat="false" ht="12.75" hidden="false" customHeight="false" outlineLevel="0" collapsed="false">
      <c r="A95" s="128" t="s">
        <v>210</v>
      </c>
      <c r="B95" s="263" t="s">
        <v>274</v>
      </c>
      <c r="C95" s="263"/>
      <c r="D95" s="78" t="n">
        <f aca="false">ROUND((D89+D90+D91+D88+D92+D93+D94)*C48,2)</f>
        <v>0</v>
      </c>
    </row>
    <row r="96" customFormat="false" ht="12.75" hidden="false" customHeight="false" outlineLevel="0" collapsed="false">
      <c r="A96" s="205" t="s">
        <v>218</v>
      </c>
      <c r="B96" s="205"/>
      <c r="C96" s="205"/>
      <c r="D96" s="27" t="n">
        <f aca="false">SUM(D88:D95)</f>
        <v>0</v>
      </c>
    </row>
    <row r="97" customFormat="false" ht="12.75" hidden="false" customHeight="false" outlineLevel="0" collapsed="false">
      <c r="D97" s="245"/>
    </row>
    <row r="98" customFormat="false" ht="12.75" hidden="false" customHeight="false" outlineLevel="0" collapsed="false">
      <c r="A98" s="25" t="s">
        <v>275</v>
      </c>
      <c r="B98" s="205" t="s">
        <v>276</v>
      </c>
      <c r="C98" s="205"/>
      <c r="D98" s="17" t="s">
        <v>199</v>
      </c>
    </row>
    <row r="99" s="34" customFormat="true" ht="12.75" hidden="false" customHeight="false" outlineLevel="0" collapsed="false">
      <c r="A99" s="110" t="s">
        <v>14</v>
      </c>
      <c r="B99" s="256" t="s">
        <v>277</v>
      </c>
      <c r="C99" s="256"/>
      <c r="D99" s="78" t="n">
        <f aca="false">+'Calculo 5x2 12h Arm'!C234</f>
        <v>0</v>
      </c>
    </row>
    <row r="100" s="34" customFormat="true" ht="31.5" hidden="false" customHeight="true" outlineLevel="0" collapsed="false">
      <c r="A100" s="110" t="s">
        <v>16</v>
      </c>
      <c r="B100" s="265" t="s">
        <v>278</v>
      </c>
      <c r="C100" s="265"/>
      <c r="D100" s="78" t="n">
        <f aca="false">ROUND(D99*C48,2)</f>
        <v>0</v>
      </c>
    </row>
    <row r="101" s="34" customFormat="true" ht="27" hidden="false" customHeight="true" outlineLevel="0" collapsed="false">
      <c r="A101" s="110" t="s">
        <v>19</v>
      </c>
      <c r="B101" s="265" t="s">
        <v>279</v>
      </c>
      <c r="C101" s="265"/>
      <c r="D101" s="78" t="n">
        <f aca="false">+'Calculo 5x2 12h Arm'!C244</f>
        <v>0</v>
      </c>
    </row>
    <row r="102" customFormat="false" ht="12.75" hidden="false" customHeight="false" outlineLevel="0" collapsed="false">
      <c r="A102" s="128" t="s">
        <v>21</v>
      </c>
      <c r="B102" s="263" t="s">
        <v>217</v>
      </c>
      <c r="C102" s="263"/>
      <c r="D102" s="78"/>
    </row>
    <row r="103" customFormat="false" ht="12.75" hidden="false" customHeight="false" outlineLevel="0" collapsed="false">
      <c r="A103" s="205" t="s">
        <v>218</v>
      </c>
      <c r="B103" s="205"/>
      <c r="C103" s="205"/>
      <c r="D103" s="27" t="n">
        <f aca="false">SUM(D99:D102)</f>
        <v>0</v>
      </c>
    </row>
    <row r="104" customFormat="false" ht="12.75" hidden="false" customHeight="false" outlineLevel="0" collapsed="false">
      <c r="D104" s="245"/>
    </row>
    <row r="105" customFormat="false" ht="12.75" hidden="false" customHeight="false" outlineLevel="0" collapsed="false">
      <c r="A105" s="25" t="s">
        <v>280</v>
      </c>
      <c r="B105" s="205" t="s">
        <v>281</v>
      </c>
      <c r="C105" s="205"/>
      <c r="D105" s="17" t="s">
        <v>199</v>
      </c>
    </row>
    <row r="106" s="267" customFormat="true" ht="30.75" hidden="false" customHeight="true" outlineLevel="0" collapsed="false">
      <c r="A106" s="256" t="s">
        <v>14</v>
      </c>
      <c r="B106" s="265" t="s">
        <v>282</v>
      </c>
      <c r="C106" s="265"/>
      <c r="D106" s="266"/>
    </row>
    <row r="107" customFormat="false" ht="12.75" hidden="false" customHeight="false" outlineLevel="0" collapsed="false">
      <c r="A107" s="205" t="s">
        <v>218</v>
      </c>
      <c r="B107" s="205"/>
      <c r="C107" s="205"/>
      <c r="D107" s="27" t="n">
        <f aca="false">SUM(D106:D106)</f>
        <v>0</v>
      </c>
    </row>
    <row r="109" customFormat="false" ht="12.75" hidden="false" customHeight="false" outlineLevel="0" collapsed="false">
      <c r="A109" s="268" t="s">
        <v>283</v>
      </c>
      <c r="B109" s="268"/>
      <c r="C109" s="268"/>
      <c r="D109" s="268"/>
    </row>
    <row r="110" customFormat="false" ht="12.75" hidden="false" customHeight="false" outlineLevel="0" collapsed="false">
      <c r="A110" s="128" t="s">
        <v>267</v>
      </c>
      <c r="B110" s="263" t="s">
        <v>268</v>
      </c>
      <c r="C110" s="263"/>
      <c r="D110" s="129" t="n">
        <f aca="false">+D96</f>
        <v>0</v>
      </c>
    </row>
    <row r="111" customFormat="false" ht="12.75" hidden="false" customHeight="false" outlineLevel="0" collapsed="false">
      <c r="A111" s="128" t="s">
        <v>275</v>
      </c>
      <c r="B111" s="263" t="s">
        <v>276</v>
      </c>
      <c r="C111" s="263"/>
      <c r="D111" s="129" t="n">
        <f aca="false">+D103</f>
        <v>0</v>
      </c>
    </row>
    <row r="112" customFormat="false" ht="12.75" hidden="false" customHeight="false" outlineLevel="0" collapsed="false">
      <c r="A112" s="269"/>
      <c r="B112" s="270" t="s">
        <v>284</v>
      </c>
      <c r="C112" s="270"/>
      <c r="D112" s="271" t="n">
        <f aca="false">+D111+D110</f>
        <v>0</v>
      </c>
    </row>
    <row r="113" customFormat="false" ht="12.75" hidden="false" customHeight="false" outlineLevel="0" collapsed="false">
      <c r="A113" s="128" t="s">
        <v>280</v>
      </c>
      <c r="B113" s="263" t="s">
        <v>281</v>
      </c>
      <c r="C113" s="263"/>
      <c r="D113" s="129" t="n">
        <f aca="false">+D107</f>
        <v>0</v>
      </c>
    </row>
    <row r="114" customFormat="false" ht="12.75" hidden="false" customHeight="false" outlineLevel="0" collapsed="false">
      <c r="A114" s="268" t="s">
        <v>218</v>
      </c>
      <c r="B114" s="268"/>
      <c r="C114" s="268"/>
      <c r="D114" s="272" t="n">
        <f aca="false">+D113+D112</f>
        <v>0</v>
      </c>
    </row>
    <row r="116" customFormat="false" ht="12.75" hidden="false" customHeight="false" outlineLevel="0" collapsed="false">
      <c r="A116" s="254" t="s">
        <v>285</v>
      </c>
      <c r="B116" s="254"/>
      <c r="C116" s="254"/>
      <c r="D116" s="254"/>
    </row>
    <row r="118" customFormat="false" ht="12.75" hidden="false" customHeight="false" outlineLevel="0" collapsed="false">
      <c r="A118" s="25" t="n">
        <v>5</v>
      </c>
      <c r="B118" s="205" t="s">
        <v>286</v>
      </c>
      <c r="C118" s="205"/>
      <c r="D118" s="17" t="s">
        <v>199</v>
      </c>
    </row>
    <row r="119" customFormat="false" ht="12.75" hidden="false" customHeight="false" outlineLevel="0" collapsed="false">
      <c r="A119" s="128" t="s">
        <v>14</v>
      </c>
      <c r="B119" s="10" t="s">
        <v>287</v>
      </c>
      <c r="C119" s="10"/>
      <c r="D119" s="78" t="n">
        <f aca="false">+Uniforme!G83</f>
        <v>0</v>
      </c>
    </row>
    <row r="120" customFormat="false" ht="12.75" hidden="false" customHeight="false" outlineLevel="0" collapsed="false">
      <c r="A120" s="128" t="s">
        <v>244</v>
      </c>
      <c r="B120" s="110" t="s">
        <v>245</v>
      </c>
      <c r="C120" s="225" t="n">
        <f aca="false">+$C$138+$C$139</f>
        <v>0.0365</v>
      </c>
      <c r="D120" s="243" t="n">
        <f aca="false">+(C120*D119)*-1</f>
        <v>0</v>
      </c>
    </row>
    <row r="121" customFormat="false" ht="12.75" hidden="false" customHeight="false" outlineLevel="0" collapsed="false">
      <c r="A121" s="128" t="s">
        <v>16</v>
      </c>
      <c r="B121" s="10" t="s">
        <v>288</v>
      </c>
      <c r="C121" s="10"/>
      <c r="D121" s="78"/>
    </row>
    <row r="122" customFormat="false" ht="12.75" hidden="false" customHeight="false" outlineLevel="0" collapsed="false">
      <c r="A122" s="128" t="s">
        <v>225</v>
      </c>
      <c r="B122" s="110" t="s">
        <v>245</v>
      </c>
      <c r="C122" s="225" t="n">
        <f aca="false">+$C$138+$C$139</f>
        <v>0.0365</v>
      </c>
      <c r="D122" s="243" t="n">
        <f aca="false">+(C122*D121)*-1</f>
        <v>0</v>
      </c>
    </row>
    <row r="123" customFormat="false" ht="12.75" hidden="false" customHeight="false" outlineLevel="0" collapsed="false">
      <c r="A123" s="128" t="s">
        <v>19</v>
      </c>
      <c r="B123" s="10" t="s">
        <v>289</v>
      </c>
      <c r="C123" s="10"/>
      <c r="D123" s="78" t="n">
        <f aca="false">+Uniforme!F98</f>
        <v>0</v>
      </c>
    </row>
    <row r="124" customFormat="false" ht="12.75" hidden="false" customHeight="false" outlineLevel="0" collapsed="false">
      <c r="A124" s="128" t="s">
        <v>248</v>
      </c>
      <c r="B124" s="110" t="s">
        <v>245</v>
      </c>
      <c r="C124" s="225" t="n">
        <f aca="false">+$C$138+$C$139</f>
        <v>0.0365</v>
      </c>
      <c r="D124" s="243" t="n">
        <f aca="false">+(C124*D123)*-1</f>
        <v>0</v>
      </c>
    </row>
    <row r="125" customFormat="false" ht="12.75" hidden="false" customHeight="false" outlineLevel="0" collapsed="false">
      <c r="A125" s="128" t="s">
        <v>21</v>
      </c>
      <c r="B125" s="10" t="s">
        <v>217</v>
      </c>
      <c r="C125" s="10"/>
      <c r="D125" s="78"/>
    </row>
    <row r="126" customFormat="false" ht="12.75" hidden="false" customHeight="false" outlineLevel="0" collapsed="false">
      <c r="A126" s="128" t="s">
        <v>250</v>
      </c>
      <c r="B126" s="110" t="s">
        <v>245</v>
      </c>
      <c r="C126" s="225" t="n">
        <f aca="false">+$C$138+$C$139</f>
        <v>0.0365</v>
      </c>
      <c r="D126" s="243" t="n">
        <f aca="false">+(C126*D125)*-1</f>
        <v>0</v>
      </c>
    </row>
    <row r="127" customFormat="false" ht="12.75" hidden="false" customHeight="false" outlineLevel="0" collapsed="false">
      <c r="A127" s="205" t="s">
        <v>218</v>
      </c>
      <c r="B127" s="205"/>
      <c r="C127" s="205"/>
      <c r="D127" s="27" t="n">
        <f aca="false">SUM(D119:D125)</f>
        <v>0</v>
      </c>
    </row>
    <row r="129" customFormat="false" ht="12.75" hidden="false" customHeight="false" outlineLevel="0" collapsed="false">
      <c r="A129" s="254" t="s">
        <v>290</v>
      </c>
      <c r="B129" s="254"/>
      <c r="C129" s="254"/>
      <c r="D129" s="254"/>
    </row>
    <row r="131" customFormat="false" ht="12.75" hidden="false" customHeight="false" outlineLevel="0" collapsed="false">
      <c r="A131" s="25" t="n">
        <v>6</v>
      </c>
      <c r="B131" s="222" t="s">
        <v>291</v>
      </c>
      <c r="C131" s="273" t="s">
        <v>198</v>
      </c>
      <c r="D131" s="17" t="s">
        <v>199</v>
      </c>
    </row>
    <row r="132" customFormat="false" ht="12.75" hidden="false" customHeight="false" outlineLevel="0" collapsed="false">
      <c r="A132" s="246" t="s">
        <v>14</v>
      </c>
      <c r="B132" s="246" t="s">
        <v>292</v>
      </c>
      <c r="C132" s="274" t="n">
        <v>0.03</v>
      </c>
      <c r="D132" s="247" t="n">
        <f aca="false">($D$127+$D$114+$D$82+$D$71+$D$26)*C132</f>
        <v>0</v>
      </c>
    </row>
    <row r="133" customFormat="false" ht="12.75" hidden="false" customHeight="false" outlineLevel="0" collapsed="false">
      <c r="A133" s="246" t="s">
        <v>16</v>
      </c>
      <c r="B133" s="246" t="s">
        <v>293</v>
      </c>
      <c r="C133" s="274" t="n">
        <v>0.03</v>
      </c>
      <c r="D133" s="247" t="n">
        <f aca="false">($D$127+$D$114+$D$82+$D$71+$D$26+D132)*C133</f>
        <v>0</v>
      </c>
    </row>
    <row r="134" s="277" customFormat="true" ht="12.75" hidden="false" customHeight="false" outlineLevel="0" collapsed="false">
      <c r="A134" s="275" t="s">
        <v>294</v>
      </c>
      <c r="B134" s="275"/>
      <c r="C134" s="275"/>
      <c r="D134" s="276" t="n">
        <f aca="false">++D133+D132+D127+D114+D82+D71+D26</f>
        <v>0</v>
      </c>
    </row>
    <row r="135" s="277" customFormat="true" ht="12.75" hidden="false" customHeight="true" outlineLevel="0" collapsed="false">
      <c r="A135" s="278" t="s">
        <v>295</v>
      </c>
      <c r="B135" s="278"/>
      <c r="C135" s="278"/>
      <c r="D135" s="276" t="n">
        <f aca="false">ROUND(D134/(1-(C138+C139+C141+C143+C144)),2)</f>
        <v>0</v>
      </c>
    </row>
    <row r="136" customFormat="false" ht="12.75" hidden="false" customHeight="false" outlineLevel="0" collapsed="false">
      <c r="A136" s="128" t="s">
        <v>19</v>
      </c>
      <c r="B136" s="128" t="s">
        <v>296</v>
      </c>
      <c r="C136" s="225"/>
      <c r="D136" s="128"/>
    </row>
    <row r="137" customFormat="false" ht="12.75" hidden="false" customHeight="false" outlineLevel="0" collapsed="false">
      <c r="A137" s="128" t="s">
        <v>248</v>
      </c>
      <c r="B137" s="128" t="s">
        <v>297</v>
      </c>
      <c r="C137" s="225"/>
      <c r="D137" s="128"/>
    </row>
    <row r="138" customFormat="false" ht="12.75" hidden="false" customHeight="false" outlineLevel="0" collapsed="false">
      <c r="A138" s="246" t="s">
        <v>298</v>
      </c>
      <c r="B138" s="246" t="s">
        <v>299</v>
      </c>
      <c r="C138" s="274" t="n">
        <v>0.0065</v>
      </c>
      <c r="D138" s="247" t="n">
        <f aca="false">ROUND(C138*$D$135,2)</f>
        <v>0</v>
      </c>
    </row>
    <row r="139" customFormat="false" ht="12.75" hidden="false" customHeight="false" outlineLevel="0" collapsed="false">
      <c r="A139" s="246" t="s">
        <v>300</v>
      </c>
      <c r="B139" s="246" t="s">
        <v>301</v>
      </c>
      <c r="C139" s="274" t="n">
        <v>0.03</v>
      </c>
      <c r="D139" s="247" t="n">
        <f aca="false">ROUND(C139*$D$135,2)</f>
        <v>0</v>
      </c>
    </row>
    <row r="140" customFormat="false" ht="12.75" hidden="false" customHeight="false" outlineLevel="0" collapsed="false">
      <c r="A140" s="128" t="s">
        <v>302</v>
      </c>
      <c r="B140" s="128" t="s">
        <v>303</v>
      </c>
      <c r="C140" s="225"/>
      <c r="D140" s="129"/>
    </row>
    <row r="141" customFormat="false" ht="12.75" hidden="false" customHeight="false" outlineLevel="0" collapsed="false">
      <c r="A141" s="128" t="s">
        <v>304</v>
      </c>
      <c r="B141" s="128" t="s">
        <v>305</v>
      </c>
      <c r="C141" s="225"/>
      <c r="D141" s="128"/>
    </row>
    <row r="142" customFormat="false" ht="12.75" hidden="false" customHeight="false" outlineLevel="0" collapsed="false">
      <c r="A142" s="128" t="s">
        <v>306</v>
      </c>
      <c r="B142" s="128" t="s">
        <v>307</v>
      </c>
      <c r="C142" s="225"/>
      <c r="D142" s="128"/>
    </row>
    <row r="143" customFormat="false" ht="12.75" hidden="false" customHeight="false" outlineLevel="0" collapsed="false">
      <c r="A143" s="246" t="s">
        <v>308</v>
      </c>
      <c r="B143" s="246" t="s">
        <v>309</v>
      </c>
      <c r="C143" s="274" t="n">
        <v>0.05</v>
      </c>
      <c r="D143" s="247" t="n">
        <f aca="false">ROUND(C143*$D$135,2)</f>
        <v>0</v>
      </c>
    </row>
    <row r="144" customFormat="false" ht="12.75" hidden="false" customHeight="false" outlineLevel="0" collapsed="false">
      <c r="A144" s="128" t="s">
        <v>310</v>
      </c>
      <c r="B144" s="128" t="s">
        <v>311</v>
      </c>
      <c r="C144" s="225"/>
      <c r="D144" s="128"/>
    </row>
    <row r="145" customFormat="false" ht="12.75" hidden="false" customHeight="false" outlineLevel="0" collapsed="false">
      <c r="A145" s="235" t="s">
        <v>218</v>
      </c>
      <c r="B145" s="235"/>
      <c r="C145" s="279" t="n">
        <f aca="false">+C144+C143+C141+C139+C138+C133+C132</f>
        <v>0.1465</v>
      </c>
      <c r="D145" s="27" t="n">
        <f aca="false">+D143+D141+D139+D138+D133+D132</f>
        <v>0</v>
      </c>
    </row>
    <row r="147" customFormat="false" ht="12.75" hidden="false" customHeight="false" outlineLevel="0" collapsed="false">
      <c r="A147" s="339" t="s">
        <v>312</v>
      </c>
      <c r="B147" s="339"/>
      <c r="C147" s="339"/>
      <c r="D147" s="339"/>
    </row>
    <row r="148" customFormat="false" ht="12.75" hidden="false" customHeight="false" outlineLevel="0" collapsed="false">
      <c r="A148" s="128" t="s">
        <v>14</v>
      </c>
      <c r="B148" s="263" t="s">
        <v>313</v>
      </c>
      <c r="C148" s="263"/>
      <c r="D148" s="78" t="n">
        <f aca="false">+D26</f>
        <v>0</v>
      </c>
    </row>
    <row r="149" customFormat="false" ht="12.75" hidden="false" customHeight="false" outlineLevel="0" collapsed="false">
      <c r="A149" s="128" t="s">
        <v>314</v>
      </c>
      <c r="B149" s="263" t="s">
        <v>315</v>
      </c>
      <c r="C149" s="263"/>
      <c r="D149" s="78" t="n">
        <f aca="false">+D71</f>
        <v>0</v>
      </c>
    </row>
    <row r="150" customFormat="false" ht="12.75" hidden="false" customHeight="false" outlineLevel="0" collapsed="false">
      <c r="A150" s="128" t="s">
        <v>19</v>
      </c>
      <c r="B150" s="263" t="s">
        <v>316</v>
      </c>
      <c r="C150" s="263"/>
      <c r="D150" s="78" t="n">
        <f aca="false">+D82</f>
        <v>0</v>
      </c>
    </row>
    <row r="151" customFormat="false" ht="12.75" hidden="false" customHeight="false" outlineLevel="0" collapsed="false">
      <c r="A151" s="128" t="s">
        <v>21</v>
      </c>
      <c r="B151" s="263" t="s">
        <v>317</v>
      </c>
      <c r="C151" s="263"/>
      <c r="D151" s="78" t="n">
        <f aca="false">+D114</f>
        <v>0</v>
      </c>
    </row>
    <row r="152" customFormat="false" ht="12.75" hidden="false" customHeight="false" outlineLevel="0" collapsed="false">
      <c r="A152" s="128" t="s">
        <v>204</v>
      </c>
      <c r="B152" s="263" t="s">
        <v>318</v>
      </c>
      <c r="C152" s="263"/>
      <c r="D152" s="78" t="n">
        <f aca="false">+D127</f>
        <v>0</v>
      </c>
    </row>
    <row r="153" customFormat="false" ht="12.75" hidden="false" customHeight="false" outlineLevel="0" collapsed="false">
      <c r="B153" s="281" t="s">
        <v>319</v>
      </c>
      <c r="C153" s="281"/>
      <c r="D153" s="282" t="n">
        <f aca="false">SUM(D148:D152)</f>
        <v>0</v>
      </c>
    </row>
    <row r="154" customFormat="false" ht="12.75" hidden="false" customHeight="false" outlineLevel="0" collapsed="false">
      <c r="A154" s="128" t="s">
        <v>206</v>
      </c>
      <c r="B154" s="263" t="s">
        <v>320</v>
      </c>
      <c r="C154" s="263"/>
      <c r="D154" s="78" t="n">
        <f aca="false">+D145</f>
        <v>0</v>
      </c>
    </row>
    <row r="156" customFormat="false" ht="12.75" hidden="false" customHeight="false" outlineLevel="0" collapsed="false">
      <c r="A156" s="340" t="s">
        <v>321</v>
      </c>
      <c r="B156" s="340"/>
      <c r="C156" s="340"/>
      <c r="D156" s="284" t="n">
        <f aca="false">ROUND(+D154+D153,2)</f>
        <v>0</v>
      </c>
    </row>
    <row r="158" customFormat="false" ht="12.75" hidden="false" customHeight="false" outlineLevel="0" collapsed="false">
      <c r="A158" s="285" t="s">
        <v>322</v>
      </c>
      <c r="B158" s="285"/>
      <c r="C158" s="285"/>
      <c r="D158" s="285"/>
    </row>
    <row r="160" customFormat="false" ht="12.75" hidden="false" customHeight="false" outlineLevel="0" collapsed="false">
      <c r="A160" s="128" t="s">
        <v>14</v>
      </c>
      <c r="B160" s="128" t="s">
        <v>223</v>
      </c>
      <c r="C160" s="286" t="e">
        <f aca="false">+C32</f>
        <v>#DIV/0!</v>
      </c>
      <c r="D160" s="78" t="n">
        <f aca="false">+D32</f>
        <v>0</v>
      </c>
    </row>
    <row r="161" customFormat="false" ht="12.75" hidden="false" customHeight="false" outlineLevel="0" collapsed="false">
      <c r="A161" s="128" t="s">
        <v>16</v>
      </c>
      <c r="B161" s="128" t="s">
        <v>226</v>
      </c>
      <c r="C161" s="286" t="e">
        <f aca="false">+C34</f>
        <v>#DIV/0!</v>
      </c>
      <c r="D161" s="78" t="n">
        <f aca="false">+D34</f>
        <v>0</v>
      </c>
    </row>
    <row r="162" customFormat="false" ht="12.75" hidden="false" customHeight="false" outlineLevel="0" collapsed="false">
      <c r="A162" s="128" t="s">
        <v>19</v>
      </c>
      <c r="B162" s="128" t="s">
        <v>228</v>
      </c>
      <c r="C162" s="286" t="e">
        <f aca="false">+C35</f>
        <v>#DIV/0!</v>
      </c>
      <c r="D162" s="78" t="n">
        <f aca="false">+D35</f>
        <v>0</v>
      </c>
    </row>
    <row r="163" customFormat="false" ht="25.5" hidden="false" customHeight="false" outlineLevel="0" collapsed="false">
      <c r="A163" s="128" t="s">
        <v>21</v>
      </c>
      <c r="B163" s="261" t="s">
        <v>261</v>
      </c>
      <c r="C163" s="225" t="e">
        <f aca="false">+C78</f>
        <v>#DIV/0!</v>
      </c>
      <c r="D163" s="78" t="n">
        <f aca="false">+D78</f>
        <v>0</v>
      </c>
    </row>
    <row r="164" customFormat="false" ht="25.5" hidden="false" customHeight="false" outlineLevel="0" collapsed="false">
      <c r="A164" s="128" t="s">
        <v>204</v>
      </c>
      <c r="B164" s="261" t="s">
        <v>264</v>
      </c>
      <c r="C164" s="286" t="e">
        <f aca="false">+C81</f>
        <v>#DIV/0!</v>
      </c>
      <c r="D164" s="129" t="n">
        <f aca="false">+D81</f>
        <v>0</v>
      </c>
    </row>
    <row r="165" customFormat="false" ht="12.75" hidden="false" customHeight="false" outlineLevel="0" collapsed="false">
      <c r="A165" s="128" t="s">
        <v>254</v>
      </c>
      <c r="B165" s="110" t="s">
        <v>323</v>
      </c>
      <c r="C165" s="287" t="e">
        <f aca="false">+(D165+D166+D167)/D26</f>
        <v>#DIV/0!</v>
      </c>
      <c r="D165" s="78" t="n">
        <f aca="false">ROUND(D32*(SUM($C$40:$C$47)),2)</f>
        <v>0</v>
      </c>
    </row>
    <row r="166" customFormat="false" ht="12.75" hidden="false" customHeight="false" outlineLevel="0" collapsed="false">
      <c r="A166" s="128" t="s">
        <v>324</v>
      </c>
      <c r="B166" s="110" t="s">
        <v>325</v>
      </c>
      <c r="C166" s="287"/>
      <c r="D166" s="78" t="n">
        <f aca="false">ROUND(D34*(SUM($C$40:$C$47)),2)</f>
        <v>0</v>
      </c>
    </row>
    <row r="167" customFormat="false" ht="12.75" hidden="false" customHeight="false" outlineLevel="0" collapsed="false">
      <c r="A167" s="128" t="s">
        <v>326</v>
      </c>
      <c r="B167" s="110" t="s">
        <v>327</v>
      </c>
      <c r="C167" s="287"/>
      <c r="D167" s="78" t="n">
        <f aca="false">ROUND(D35*(SUM($C$40:$C$47)),2)</f>
        <v>0</v>
      </c>
    </row>
    <row r="168" customFormat="false" ht="12.75" hidden="false" customHeight="false" outlineLevel="0" collapsed="false">
      <c r="A168" s="254" t="s">
        <v>218</v>
      </c>
      <c r="B168" s="254"/>
      <c r="C168" s="254"/>
      <c r="D168" s="288" t="n">
        <f aca="false">SUM(D160:D167)</f>
        <v>0</v>
      </c>
    </row>
    <row r="169" customFormat="false" ht="12.75" hidden="false" customHeight="false" outlineLevel="0" collapsed="false">
      <c r="B169" s="289"/>
      <c r="C169" s="289"/>
      <c r="D169" s="289"/>
    </row>
    <row r="170" s="127" customFormat="true" ht="47.25" hidden="false" customHeight="true" outlineLevel="0" collapsed="false">
      <c r="A170" s="290" t="s">
        <v>328</v>
      </c>
      <c r="B170" s="290"/>
      <c r="C170" s="290"/>
      <c r="D170" s="290"/>
      <c r="E170" s="291"/>
    </row>
    <row r="171" customFormat="false" ht="12.75" hidden="false" customHeight="false" outlineLevel="0" collapsed="false">
      <c r="A171" s="292"/>
      <c r="B171" s="292"/>
      <c r="C171" s="292"/>
      <c r="D171" s="292"/>
      <c r="E171" s="292"/>
    </row>
    <row r="172" customFormat="false" ht="48" hidden="false" customHeight="true" outlineLevel="0" collapsed="false">
      <c r="A172" s="293" t="s">
        <v>329</v>
      </c>
      <c r="B172" s="293"/>
      <c r="C172" s="293"/>
      <c r="D172" s="293"/>
      <c r="E172" s="292"/>
    </row>
  </sheetData>
  <mergeCells count="84">
    <mergeCell ref="A1:D1"/>
    <mergeCell ref="A5:D5"/>
    <mergeCell ref="C6:D6"/>
    <mergeCell ref="C7:D7"/>
    <mergeCell ref="C8:D8"/>
    <mergeCell ref="C9:D9"/>
    <mergeCell ref="C10:D10"/>
    <mergeCell ref="A12:D12"/>
    <mergeCell ref="B14:C14"/>
    <mergeCell ref="B17:C17"/>
    <mergeCell ref="B18:C18"/>
    <mergeCell ref="B19:C19"/>
    <mergeCell ref="B20:C20"/>
    <mergeCell ref="B21:C21"/>
    <mergeCell ref="B23:C23"/>
    <mergeCell ref="B24:C24"/>
    <mergeCell ref="B25:C25"/>
    <mergeCell ref="A26:C26"/>
    <mergeCell ref="A28:D28"/>
    <mergeCell ref="A30:D30"/>
    <mergeCell ref="A36:C36"/>
    <mergeCell ref="A38:D38"/>
    <mergeCell ref="A50:D50"/>
    <mergeCell ref="B62:C62"/>
    <mergeCell ref="A64:B64"/>
    <mergeCell ref="A66:D66"/>
    <mergeCell ref="B67:C67"/>
    <mergeCell ref="B68:C68"/>
    <mergeCell ref="B69:C69"/>
    <mergeCell ref="B70:C70"/>
    <mergeCell ref="A71:C71"/>
    <mergeCell ref="A73:D73"/>
    <mergeCell ref="A82:C82"/>
    <mergeCell ref="A84:D84"/>
    <mergeCell ref="A86:D86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A96:C96"/>
    <mergeCell ref="B98:C98"/>
    <mergeCell ref="B99:C99"/>
    <mergeCell ref="B100:C100"/>
    <mergeCell ref="B101:C101"/>
    <mergeCell ref="B102:C102"/>
    <mergeCell ref="A103:C103"/>
    <mergeCell ref="B105:C105"/>
    <mergeCell ref="B106:C106"/>
    <mergeCell ref="A107:C107"/>
    <mergeCell ref="B110:C110"/>
    <mergeCell ref="B111:C111"/>
    <mergeCell ref="B112:C112"/>
    <mergeCell ref="B113:C113"/>
    <mergeCell ref="A114:C114"/>
    <mergeCell ref="A116:D116"/>
    <mergeCell ref="B118:C118"/>
    <mergeCell ref="B119:C119"/>
    <mergeCell ref="B121:C121"/>
    <mergeCell ref="B123:C123"/>
    <mergeCell ref="B125:C125"/>
    <mergeCell ref="A127:C127"/>
    <mergeCell ref="A129:D129"/>
    <mergeCell ref="A134:C134"/>
    <mergeCell ref="A135:C135"/>
    <mergeCell ref="A145:B145"/>
    <mergeCell ref="A147:D147"/>
    <mergeCell ref="B148:C148"/>
    <mergeCell ref="B149:C149"/>
    <mergeCell ref="B150:C150"/>
    <mergeCell ref="B151:C151"/>
    <mergeCell ref="B152:C152"/>
    <mergeCell ref="B153:C153"/>
    <mergeCell ref="B154:C154"/>
    <mergeCell ref="A156:C156"/>
    <mergeCell ref="A158:D158"/>
    <mergeCell ref="C165:C167"/>
    <mergeCell ref="A168:C168"/>
    <mergeCell ref="A170:D170"/>
    <mergeCell ref="A172:D172"/>
  </mergeCells>
  <printOptions headings="false" gridLines="false" gridLinesSet="true" horizontalCentered="false" verticalCentered="false"/>
  <pageMargins left="1.05972222222222" right="0.0798611111111111" top="0.429861111111111" bottom="0.7875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 filterMode="false">
    <tabColor rgb="FF604A7B"/>
    <pageSetUpPr fitToPage="false"/>
  </sheetPr>
  <dimension ref="A1:D2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21" activeCellId="0" sqref="B21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3" min="2" style="0" width="12.25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294" t="s">
        <v>444</v>
      </c>
      <c r="B1" s="294"/>
      <c r="C1" s="294"/>
    </row>
    <row r="3" customFormat="false" ht="12.75" hidden="false" customHeight="false" outlineLevel="0" collapsed="false">
      <c r="A3" s="128" t="s">
        <v>445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(365.25/12)/(7/5)</f>
        <v>21.7410714285714</v>
      </c>
    </row>
    <row r="6" customFormat="false" ht="12.75" hidden="false" customHeight="false" outlineLevel="0" collapsed="false">
      <c r="A6" s="110" t="s">
        <v>200</v>
      </c>
      <c r="B6" s="129" t="n">
        <f aca="false">+'Vigilante 5x2 12h Arm'!D14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5x2 12h Arm'!D26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5x2 12h Arm'!D14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5x2 12h Arm'!D15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5x2 12h Arm'!D16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5x2 12h Arm'!D17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5x2 12h Arm'!D18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5x2 12h Arm'!D22</f>
        <v>0</v>
      </c>
    </row>
    <row r="16" customFormat="false" ht="12.75" hidden="false" customHeight="false" outlineLevel="0" collapsed="false">
      <c r="A16" s="128" t="s">
        <v>442</v>
      </c>
      <c r="B16" s="260"/>
      <c r="C16" s="296" t="n">
        <f aca="false">+'Vigilante 5x2 12h Arm'!D24</f>
        <v>0</v>
      </c>
    </row>
    <row r="17" customFormat="false" ht="12.75" hidden="false" customHeight="false" outlineLevel="0" collapsed="false">
      <c r="A17" s="230" t="s">
        <v>337</v>
      </c>
      <c r="B17" s="297"/>
      <c r="C17" s="298" t="n">
        <f aca="false">SUM(C10:C16)</f>
        <v>0</v>
      </c>
    </row>
    <row r="18" customFormat="false" ht="12.75" hidden="false" customHeight="false" outlineLevel="0" collapsed="false">
      <c r="A18" s="128" t="s">
        <v>332</v>
      </c>
      <c r="B18" s="299" t="n">
        <f aca="false">+B3</f>
        <v>220</v>
      </c>
      <c r="C18" s="241"/>
    </row>
    <row r="19" customFormat="false" ht="12.75" hidden="false" customHeight="false" outlineLevel="0" collapsed="false">
      <c r="A19" s="230" t="s">
        <v>338</v>
      </c>
      <c r="B19" s="297"/>
      <c r="C19" s="232" t="n">
        <f aca="false">+C17/B18</f>
        <v>0</v>
      </c>
    </row>
    <row r="20" customFormat="false" ht="12.75" hidden="false" customHeight="false" outlineLevel="0" collapsed="false">
      <c r="A20" s="128" t="s">
        <v>339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340</v>
      </c>
      <c r="B21" s="128" t="n">
        <v>10</v>
      </c>
      <c r="C21" s="241"/>
    </row>
    <row r="22" customFormat="false" ht="12.75" hidden="false" customHeight="false" outlineLevel="0" collapsed="false">
      <c r="A22" s="128" t="s">
        <v>341</v>
      </c>
      <c r="B22" s="128" t="n">
        <f aca="false">+B21*B20</f>
        <v>120</v>
      </c>
      <c r="C22" s="78" t="n">
        <f aca="false">+B22*C19</f>
        <v>0</v>
      </c>
    </row>
    <row r="23" customFormat="false" ht="12.75" hidden="false" customHeight="false" outlineLevel="0" collapsed="false">
      <c r="A23" s="128" t="s">
        <v>342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343</v>
      </c>
      <c r="B24" s="225" t="n">
        <v>1</v>
      </c>
      <c r="C24" s="78" t="n">
        <f aca="false">+B24*C23</f>
        <v>0</v>
      </c>
    </row>
    <row r="25" customFormat="false" ht="12.75" hidden="false" customHeight="false" outlineLevel="0" collapsed="false">
      <c r="A25" s="128" t="s">
        <v>344</v>
      </c>
      <c r="B25" s="128" t="n">
        <v>12</v>
      </c>
      <c r="C25" s="300"/>
    </row>
    <row r="26" customFormat="false" ht="12.75" hidden="false" customHeight="false" outlineLevel="0" collapsed="false">
      <c r="A26" s="268" t="s">
        <v>345</v>
      </c>
      <c r="B26" s="268"/>
      <c r="C26" s="288" t="n">
        <f aca="false">+C24/B25</f>
        <v>0</v>
      </c>
    </row>
    <row r="27" customFormat="false" ht="12.75" hidden="false" customHeight="false" outlineLevel="0" collapsed="false">
      <c r="C27" s="245"/>
    </row>
    <row r="28" customFormat="false" ht="12.75" hidden="false" customHeight="false" outlineLevel="0" collapsed="false">
      <c r="A28" s="255" t="s">
        <v>346</v>
      </c>
      <c r="B28" s="255"/>
      <c r="C28" s="255"/>
    </row>
    <row r="29" customFormat="false" ht="12.75" hidden="false" customHeight="false" outlineLevel="0" collapsed="false">
      <c r="A29" s="128" t="s">
        <v>338</v>
      </c>
      <c r="B29" s="260"/>
      <c r="C29" s="296" t="n">
        <f aca="false">+C19</f>
        <v>0</v>
      </c>
    </row>
    <row r="30" customFormat="false" ht="12.75" hidden="false" customHeight="false" outlineLevel="0" collapsed="false">
      <c r="A30" s="128" t="s">
        <v>341</v>
      </c>
      <c r="B30" s="128" t="n">
        <v>192</v>
      </c>
      <c r="C30" s="241"/>
    </row>
    <row r="31" customFormat="false" ht="12.75" hidden="false" customHeight="false" outlineLevel="0" collapsed="false">
      <c r="A31" s="128" t="s">
        <v>347</v>
      </c>
      <c r="B31" s="128" t="n">
        <f aca="false">+$B$4</f>
        <v>365.25</v>
      </c>
      <c r="C31" s="241"/>
    </row>
    <row r="32" customFormat="false" ht="12.75" hidden="false" customHeight="false" outlineLevel="0" collapsed="false">
      <c r="A32" s="128" t="s">
        <v>339</v>
      </c>
      <c r="B32" s="128" t="n">
        <v>12</v>
      </c>
      <c r="C32" s="241"/>
    </row>
    <row r="33" customFormat="false" ht="12.75" hidden="false" customHeight="false" outlineLevel="0" collapsed="false">
      <c r="A33" s="128" t="s">
        <v>342</v>
      </c>
      <c r="B33" s="225" t="n">
        <v>1</v>
      </c>
      <c r="C33" s="241"/>
    </row>
    <row r="34" customFormat="false" ht="12.75" hidden="false" customHeight="false" outlineLevel="0" collapsed="false">
      <c r="A34" s="128" t="s">
        <v>348</v>
      </c>
      <c r="B34" s="301" t="n">
        <f aca="false">ROUND(((B31/7)*6)-B32,2)</f>
        <v>301.07</v>
      </c>
      <c r="C34" s="241"/>
    </row>
    <row r="35" customFormat="false" ht="12.75" hidden="false" customHeight="false" outlineLevel="0" collapsed="false">
      <c r="A35" s="128" t="s">
        <v>349</v>
      </c>
      <c r="B35" s="110" t="n">
        <v>12</v>
      </c>
      <c r="C35" s="241"/>
    </row>
    <row r="36" customFormat="false" ht="25.5" hidden="false" customHeight="false" outlineLevel="0" collapsed="false">
      <c r="A36" s="261" t="s">
        <v>350</v>
      </c>
      <c r="B36" s="128" t="n">
        <f aca="false">+((B30/B35)*B33)/B34</f>
        <v>0.0531437871591324</v>
      </c>
      <c r="C36" s="241"/>
    </row>
    <row r="37" customFormat="false" ht="12.75" hidden="false" customHeight="false" outlineLevel="0" collapsed="false">
      <c r="A37" s="253" t="s">
        <v>351</v>
      </c>
      <c r="B37" s="253"/>
      <c r="C37" s="288" t="n">
        <f aca="false">+C29*(B31-B34)*B36</f>
        <v>0</v>
      </c>
    </row>
    <row r="38" customFormat="false" ht="12.75" hidden="false" customHeight="false" outlineLevel="0" collapsed="false">
      <c r="C38" s="245"/>
    </row>
    <row r="39" customFormat="false" ht="12.75" hidden="false" customHeight="false" outlineLevel="0" collapsed="false">
      <c r="A39" s="255" t="s">
        <v>446</v>
      </c>
      <c r="B39" s="255"/>
      <c r="C39" s="255"/>
    </row>
    <row r="40" customFormat="false" ht="12.75" hidden="false" customHeight="false" outlineLevel="0" collapsed="false">
      <c r="A40" s="128" t="s">
        <v>200</v>
      </c>
      <c r="B40" s="260"/>
      <c r="C40" s="296" t="n">
        <f aca="false">+B6</f>
        <v>0</v>
      </c>
    </row>
    <row r="41" customFormat="false" ht="12.75" hidden="false" customHeight="false" outlineLevel="0" collapsed="false">
      <c r="A41" s="128" t="s">
        <v>332</v>
      </c>
      <c r="B41" s="299" t="n">
        <f aca="false">+B3</f>
        <v>220</v>
      </c>
      <c r="C41" s="241"/>
    </row>
    <row r="42" customFormat="false" ht="12.75" hidden="false" customHeight="false" outlineLevel="0" collapsed="false">
      <c r="A42" s="230" t="s">
        <v>338</v>
      </c>
      <c r="B42" s="297"/>
      <c r="C42" s="232" t="n">
        <f aca="false">+C40/B41</f>
        <v>0</v>
      </c>
    </row>
    <row r="43" s="34" customFormat="true" ht="12.75" hidden="false" customHeight="false" outlineLevel="0" collapsed="false">
      <c r="A43" s="128" t="s">
        <v>447</v>
      </c>
      <c r="B43" s="225" t="n">
        <v>0.5</v>
      </c>
      <c r="C43" s="232"/>
    </row>
    <row r="44" s="34" customFormat="true" ht="12.75" hidden="false" customHeight="false" outlineLevel="0" collapsed="false">
      <c r="A44" s="230" t="s">
        <v>448</v>
      </c>
      <c r="B44" s="309"/>
      <c r="C44" s="232" t="n">
        <f aca="false">+C42*(1+B43)</f>
        <v>0</v>
      </c>
    </row>
    <row r="45" customFormat="false" ht="12.75" hidden="false" customHeight="false" outlineLevel="0" collapsed="false">
      <c r="A45" s="110" t="s">
        <v>449</v>
      </c>
      <c r="B45" s="128" t="n">
        <v>10</v>
      </c>
      <c r="C45" s="241"/>
    </row>
    <row r="46" customFormat="false" ht="12.75" hidden="false" customHeight="false" outlineLevel="0" collapsed="false">
      <c r="A46" s="128" t="s">
        <v>334</v>
      </c>
      <c r="B46" s="348" t="n">
        <f aca="false">+B5</f>
        <v>21.7410714285714</v>
      </c>
      <c r="C46" s="241"/>
    </row>
    <row r="47" customFormat="false" ht="12.75" hidden="false" customHeight="false" outlineLevel="0" collapsed="false">
      <c r="A47" s="110" t="s">
        <v>450</v>
      </c>
      <c r="B47" s="128" t="n">
        <v>192</v>
      </c>
      <c r="C47" s="241"/>
    </row>
    <row r="48" customFormat="false" ht="12.75" hidden="false" customHeight="false" outlineLevel="0" collapsed="false">
      <c r="A48" s="110" t="s">
        <v>451</v>
      </c>
      <c r="B48" s="128" t="n">
        <f aca="false">ROUND(+B46*B45,2)</f>
        <v>217.41</v>
      </c>
      <c r="C48" s="241"/>
    </row>
    <row r="49" customFormat="false" ht="12.75" hidden="false" customHeight="false" outlineLevel="0" collapsed="false">
      <c r="A49" s="110" t="s">
        <v>452</v>
      </c>
      <c r="B49" s="128" t="n">
        <f aca="false">+B48-B47</f>
        <v>25.41</v>
      </c>
      <c r="C49" s="241"/>
    </row>
    <row r="50" customFormat="false" ht="12.75" hidden="false" customHeight="false" outlineLevel="0" collapsed="false">
      <c r="A50" s="253" t="s">
        <v>453</v>
      </c>
      <c r="B50" s="253"/>
      <c r="C50" s="288" t="n">
        <f aca="false">+B49*C44</f>
        <v>0</v>
      </c>
    </row>
    <row r="51" customFormat="false" ht="12.75" hidden="false" customHeight="false" outlineLevel="0" collapsed="false">
      <c r="C51" s="245"/>
    </row>
    <row r="52" customFormat="false" ht="12.75" hidden="false" customHeight="false" outlineLevel="0" collapsed="false">
      <c r="A52" s="285" t="s">
        <v>352</v>
      </c>
      <c r="B52" s="285"/>
      <c r="C52" s="285"/>
    </row>
    <row r="53" customFormat="false" ht="12.75" hidden="false" customHeight="false" outlineLevel="0" collapsed="false">
      <c r="A53" s="264" t="s">
        <v>200</v>
      </c>
      <c r="B53" s="302"/>
      <c r="C53" s="303" t="n">
        <f aca="false">+'Vigilante 5x2 12h Arm'!D14</f>
        <v>0</v>
      </c>
    </row>
    <row r="54" customFormat="false" ht="12.75" hidden="false" customHeight="false" outlineLevel="0" collapsed="false">
      <c r="A54" s="264" t="s">
        <v>201</v>
      </c>
      <c r="B54" s="304"/>
      <c r="C54" s="303" t="n">
        <f aca="false">+'Vigilante 5x2 12h Arm'!D15</f>
        <v>0</v>
      </c>
    </row>
    <row r="55" customFormat="false" ht="12.75" hidden="false" customHeight="false" outlineLevel="0" collapsed="false">
      <c r="A55" s="264" t="s">
        <v>202</v>
      </c>
      <c r="B55" s="304"/>
      <c r="C55" s="303" t="n">
        <f aca="false">+'Vigilante 5x2 12h Arm'!D16</f>
        <v>0</v>
      </c>
    </row>
    <row r="56" customFormat="false" ht="12.75" hidden="false" customHeight="false" outlineLevel="0" collapsed="false">
      <c r="A56" s="264" t="s">
        <v>203</v>
      </c>
      <c r="B56" s="304"/>
      <c r="C56" s="303" t="n">
        <f aca="false">+'Vigilante 5x2 12h Arm'!D17</f>
        <v>0</v>
      </c>
    </row>
    <row r="57" customFormat="false" ht="12.75" hidden="false" customHeight="false" outlineLevel="0" collapsed="false">
      <c r="A57" s="264" t="s">
        <v>205</v>
      </c>
      <c r="B57" s="304"/>
      <c r="C57" s="303" t="n">
        <f aca="false">+'Vigilante 5x2 12h Arm'!D18</f>
        <v>0</v>
      </c>
    </row>
    <row r="58" customFormat="false" ht="12.75" hidden="false" customHeight="false" outlineLevel="0" collapsed="false">
      <c r="A58" s="264" t="s">
        <v>209</v>
      </c>
      <c r="B58" s="304"/>
      <c r="C58" s="303" t="n">
        <f aca="false">+'Vigilante 5x2 12h Arm'!D20</f>
        <v>0</v>
      </c>
    </row>
    <row r="59" customFormat="false" ht="12.75" hidden="false" customHeight="false" outlineLevel="0" collapsed="false">
      <c r="A59" s="264" t="s">
        <v>213</v>
      </c>
      <c r="B59" s="304"/>
      <c r="C59" s="303" t="n">
        <f aca="false">+'Vigilante 5x2 12h Arm'!D22</f>
        <v>0</v>
      </c>
    </row>
    <row r="60" customFormat="false" ht="12.75" hidden="false" customHeight="false" outlineLevel="0" collapsed="false">
      <c r="A60" s="230" t="s">
        <v>353</v>
      </c>
      <c r="B60" s="305"/>
      <c r="C60" s="306" t="n">
        <f aca="false">SUM(C53:C59)</f>
        <v>0</v>
      </c>
    </row>
    <row r="61" customFormat="false" ht="12.75" hidden="false" customHeight="false" outlineLevel="0" collapsed="false">
      <c r="A61" s="128" t="s">
        <v>332</v>
      </c>
      <c r="B61" s="299" t="n">
        <f aca="false">+B3</f>
        <v>220</v>
      </c>
      <c r="C61" s="304"/>
    </row>
    <row r="62" customFormat="false" ht="12.75" hidden="false" customHeight="false" outlineLevel="0" collapsed="false">
      <c r="A62" s="128" t="s">
        <v>338</v>
      </c>
      <c r="B62" s="304"/>
      <c r="C62" s="307" t="n">
        <f aca="false">ROUND(+C60/B61,2)</f>
        <v>0</v>
      </c>
    </row>
    <row r="63" customFormat="false" ht="12.75" hidden="false" customHeight="false" outlineLevel="0" collapsed="false">
      <c r="A63" s="128" t="s">
        <v>354</v>
      </c>
      <c r="B63" s="295" t="n">
        <f aca="false">(365.25/12)/(7/5)</f>
        <v>21.7410714285714</v>
      </c>
      <c r="C63" s="304"/>
    </row>
    <row r="64" customFormat="false" ht="12.75" hidden="false" customHeight="false" outlineLevel="0" collapsed="false">
      <c r="A64" s="128" t="s">
        <v>355</v>
      </c>
      <c r="B64" s="225" t="n">
        <v>0.5</v>
      </c>
      <c r="C64" s="128"/>
    </row>
    <row r="65" customFormat="false" ht="12.75" hidden="false" customHeight="false" outlineLevel="0" collapsed="false">
      <c r="A65" s="268" t="s">
        <v>356</v>
      </c>
      <c r="B65" s="268"/>
      <c r="C65" s="288" t="n">
        <f aca="false">ROUND((B63*C62)*(1+B64),2)</f>
        <v>0</v>
      </c>
    </row>
    <row r="67" customFormat="false" ht="12.75" hidden="false" customHeight="false" outlineLevel="0" collapsed="false">
      <c r="A67" s="285" t="s">
        <v>357</v>
      </c>
      <c r="B67" s="285"/>
      <c r="C67" s="285"/>
    </row>
    <row r="68" customFormat="false" ht="12.75" hidden="false" customHeight="false" outlineLevel="0" collapsed="false">
      <c r="A68" s="128" t="s">
        <v>347</v>
      </c>
      <c r="B68" s="128" t="n">
        <v>365.25</v>
      </c>
      <c r="C68" s="260"/>
    </row>
    <row r="69" customFormat="false" ht="12.75" hidden="false" customHeight="false" outlineLevel="0" collapsed="false">
      <c r="A69" s="128" t="s">
        <v>349</v>
      </c>
      <c r="B69" s="110" t="n">
        <v>12</v>
      </c>
      <c r="C69" s="260"/>
    </row>
    <row r="70" customFormat="false" ht="12.75" hidden="false" customHeight="false" outlineLevel="0" collapsed="false">
      <c r="A70" s="128" t="s">
        <v>358</v>
      </c>
      <c r="B70" s="225" t="n">
        <v>1</v>
      </c>
      <c r="C70" s="260"/>
    </row>
    <row r="71" customFormat="false" ht="12.75" hidden="false" customHeight="false" outlineLevel="0" collapsed="false">
      <c r="A71" s="308" t="s">
        <v>359</v>
      </c>
      <c r="B71" s="110" t="n">
        <v>7</v>
      </c>
      <c r="C71" s="260"/>
    </row>
    <row r="72" customFormat="false" ht="12.75" hidden="false" customHeight="false" outlineLevel="0" collapsed="false">
      <c r="A72" s="110" t="s">
        <v>360</v>
      </c>
      <c r="B72" s="260"/>
      <c r="C72" s="129" t="n">
        <f aca="false">+'Vigilante 5x2 12h Arm'!$D$14</f>
        <v>0</v>
      </c>
    </row>
    <row r="73" customFormat="false" ht="12.75" hidden="false" customHeight="false" outlineLevel="0" collapsed="false">
      <c r="A73" s="110" t="s">
        <v>201</v>
      </c>
      <c r="B73" s="260"/>
      <c r="C73" s="129" t="n">
        <f aca="false">+'Vigilante 5x2 12h Arm'!$D$15</f>
        <v>0</v>
      </c>
    </row>
    <row r="74" customFormat="false" ht="12.75" hidden="false" customHeight="false" outlineLevel="0" collapsed="false">
      <c r="A74" s="110" t="s">
        <v>202</v>
      </c>
      <c r="B74" s="260"/>
      <c r="C74" s="129" t="n">
        <f aca="false">+'Vigilante 5x2 12h Arm'!$D$16</f>
        <v>0</v>
      </c>
    </row>
    <row r="75" customFormat="false" ht="12.75" hidden="false" customHeight="false" outlineLevel="0" collapsed="false">
      <c r="A75" s="309" t="s">
        <v>337</v>
      </c>
      <c r="B75" s="260"/>
      <c r="C75" s="310" t="n">
        <f aca="false">SUM(C72:C74)</f>
        <v>0</v>
      </c>
    </row>
    <row r="76" customFormat="false" ht="12.75" hidden="false" customHeight="false" outlineLevel="0" collapsed="false">
      <c r="A76" s="128" t="s">
        <v>332</v>
      </c>
      <c r="B76" s="311" t="n">
        <f aca="false">+B3</f>
        <v>220</v>
      </c>
      <c r="C76" s="260"/>
    </row>
    <row r="77" customFormat="false" ht="12.75" hidden="false" customHeight="false" outlineLevel="0" collapsed="false">
      <c r="A77" s="110" t="s">
        <v>361</v>
      </c>
      <c r="B77" s="225" t="n">
        <v>0.2</v>
      </c>
      <c r="C77" s="260"/>
    </row>
    <row r="78" customFormat="false" ht="12.75" hidden="false" customHeight="false" outlineLevel="0" collapsed="false">
      <c r="A78" s="110" t="s">
        <v>362</v>
      </c>
      <c r="B78" s="260"/>
      <c r="C78" s="78" t="n">
        <f aca="false">ROUND((C75/B76)*B77,2)</f>
        <v>0</v>
      </c>
    </row>
    <row r="79" customFormat="false" ht="12.75" hidden="false" customHeight="false" outlineLevel="0" collapsed="false">
      <c r="A79" s="110" t="s">
        <v>363</v>
      </c>
      <c r="B79" s="128" t="n">
        <f aca="false">ROUND(+B68/B69*B70*B71,0)</f>
        <v>213</v>
      </c>
      <c r="C79" s="312"/>
    </row>
    <row r="80" customFormat="false" ht="12.75" hidden="false" customHeight="false" outlineLevel="0" collapsed="false">
      <c r="A80" s="313" t="s">
        <v>364</v>
      </c>
      <c r="B80" s="313"/>
      <c r="C80" s="26" t="n">
        <f aca="false">ROUND(+B79*C78,2)</f>
        <v>0</v>
      </c>
    </row>
    <row r="82" customFormat="false" ht="12.75" hidden="false" customHeight="false" outlineLevel="0" collapsed="false">
      <c r="A82" s="255" t="s">
        <v>365</v>
      </c>
      <c r="B82" s="255"/>
      <c r="C82" s="255"/>
    </row>
    <row r="83" customFormat="false" ht="12.75" hidden="false" customHeight="false" outlineLevel="0" collapsed="false">
      <c r="A83" s="128" t="s">
        <v>338</v>
      </c>
      <c r="B83" s="260"/>
      <c r="C83" s="296" t="n">
        <f aca="false">+C80</f>
        <v>0</v>
      </c>
    </row>
    <row r="84" customFormat="false" ht="12.75" hidden="false" customHeight="false" outlineLevel="0" collapsed="false">
      <c r="A84" s="128" t="s">
        <v>341</v>
      </c>
      <c r="B84" s="128" t="n">
        <v>192</v>
      </c>
      <c r="C84" s="241"/>
    </row>
    <row r="85" customFormat="false" ht="12.75" hidden="false" customHeight="false" outlineLevel="0" collapsed="false">
      <c r="A85" s="128" t="s">
        <v>347</v>
      </c>
      <c r="B85" s="128" t="n">
        <f aca="false">+$B$4</f>
        <v>365.25</v>
      </c>
      <c r="C85" s="241"/>
    </row>
    <row r="86" customFormat="false" ht="12.75" hidden="false" customHeight="false" outlineLevel="0" collapsed="false">
      <c r="A86" s="128" t="s">
        <v>339</v>
      </c>
      <c r="B86" s="128" t="n">
        <v>12</v>
      </c>
      <c r="C86" s="241"/>
    </row>
    <row r="87" customFormat="false" ht="12.75" hidden="false" customHeight="false" outlineLevel="0" collapsed="false">
      <c r="A87" s="128" t="s">
        <v>342</v>
      </c>
      <c r="B87" s="225" t="n">
        <v>1</v>
      </c>
      <c r="C87" s="241"/>
    </row>
    <row r="88" customFormat="false" ht="12.75" hidden="false" customHeight="false" outlineLevel="0" collapsed="false">
      <c r="A88" s="128" t="s">
        <v>348</v>
      </c>
      <c r="B88" s="301" t="n">
        <f aca="false">ROUND(((B85/7)*6)-B86,2)</f>
        <v>301.07</v>
      </c>
      <c r="C88" s="241"/>
    </row>
    <row r="89" customFormat="false" ht="12.75" hidden="false" customHeight="false" outlineLevel="0" collapsed="false">
      <c r="A89" s="128" t="s">
        <v>349</v>
      </c>
      <c r="B89" s="110" t="n">
        <v>12</v>
      </c>
      <c r="C89" s="241"/>
    </row>
    <row r="90" customFormat="false" ht="25.5" hidden="false" customHeight="false" outlineLevel="0" collapsed="false">
      <c r="A90" s="261" t="s">
        <v>350</v>
      </c>
      <c r="B90" s="128" t="n">
        <f aca="false">+((B84/B89)*B87)/B88</f>
        <v>0.0531437871591324</v>
      </c>
      <c r="C90" s="241"/>
    </row>
    <row r="91" customFormat="false" ht="12.75" hidden="false" customHeight="false" outlineLevel="0" collapsed="false">
      <c r="A91" s="253" t="s">
        <v>351</v>
      </c>
      <c r="B91" s="253"/>
      <c r="C91" s="288" t="n">
        <f aca="false">+C83/B84*(B85-B88)*B90</f>
        <v>0</v>
      </c>
    </row>
    <row r="93" customFormat="false" ht="12.75" hidden="false" customHeight="false" outlineLevel="0" collapsed="false">
      <c r="A93" s="285" t="s">
        <v>366</v>
      </c>
      <c r="B93" s="285"/>
      <c r="C93" s="285"/>
    </row>
    <row r="94" customFormat="false" ht="12.75" hidden="false" customHeight="false" outlineLevel="0" collapsed="false">
      <c r="A94" s="128" t="s">
        <v>347</v>
      </c>
      <c r="B94" s="128" t="n">
        <f aca="false">+$B$4</f>
        <v>365.25</v>
      </c>
      <c r="C94" s="260"/>
    </row>
    <row r="95" customFormat="false" ht="12.75" hidden="false" customHeight="false" outlineLevel="0" collapsed="false">
      <c r="A95" s="128" t="s">
        <v>349</v>
      </c>
      <c r="B95" s="110" t="n">
        <v>12</v>
      </c>
      <c r="C95" s="260"/>
    </row>
    <row r="96" customFormat="false" ht="12.75" hidden="false" customHeight="false" outlineLevel="0" collapsed="false">
      <c r="A96" s="128" t="s">
        <v>358</v>
      </c>
      <c r="B96" s="225" t="n">
        <v>1</v>
      </c>
      <c r="C96" s="260"/>
      <c r="D96" s="314"/>
    </row>
    <row r="97" customFormat="false" ht="12.75" hidden="false" customHeight="false" outlineLevel="0" collapsed="false">
      <c r="A97" s="308" t="s">
        <v>359</v>
      </c>
      <c r="B97" s="110" t="n">
        <v>7</v>
      </c>
      <c r="C97" s="260"/>
      <c r="D97" s="314"/>
    </row>
    <row r="98" customFormat="false" ht="12.75" hidden="false" customHeight="false" outlineLevel="0" collapsed="false">
      <c r="A98" s="110" t="s">
        <v>367</v>
      </c>
      <c r="B98" s="295" t="n">
        <f aca="false">(365.25/12)/(7/5)</f>
        <v>21.7410714285714</v>
      </c>
      <c r="C98" s="128"/>
      <c r="D98" s="314"/>
    </row>
    <row r="99" customFormat="false" ht="12.75" hidden="false" customHeight="false" outlineLevel="0" collapsed="false">
      <c r="A99" s="110" t="s">
        <v>368</v>
      </c>
      <c r="B99" s="128" t="n">
        <f aca="false">ROUND(+B98*B97,2)</f>
        <v>152.19</v>
      </c>
      <c r="C99" s="128"/>
    </row>
    <row r="100" customFormat="false" ht="12.75" hidden="false" customHeight="false" outlineLevel="0" collapsed="false">
      <c r="A100" s="110" t="s">
        <v>360</v>
      </c>
      <c r="B100" s="260"/>
      <c r="C100" s="129" t="n">
        <f aca="false">+'Vigilante 5x2 12h Arm'!$D$14</f>
        <v>0</v>
      </c>
    </row>
    <row r="101" customFormat="false" ht="12.75" hidden="false" customHeight="false" outlineLevel="0" collapsed="false">
      <c r="A101" s="110" t="s">
        <v>201</v>
      </c>
      <c r="B101" s="260"/>
      <c r="C101" s="129" t="n">
        <f aca="false">+'Vigilante 5x2 12h Arm'!$D$15</f>
        <v>0</v>
      </c>
    </row>
    <row r="102" customFormat="false" ht="12.75" hidden="false" customHeight="false" outlineLevel="0" collapsed="false">
      <c r="A102" s="110" t="s">
        <v>202</v>
      </c>
      <c r="B102" s="260"/>
      <c r="C102" s="129" t="n">
        <f aca="false">+'Vigilante 5x2 12h Arm'!$D$16</f>
        <v>0</v>
      </c>
    </row>
    <row r="103" customFormat="false" ht="12.75" hidden="false" customHeight="false" outlineLevel="0" collapsed="false">
      <c r="A103" s="309" t="s">
        <v>337</v>
      </c>
      <c r="B103" s="260"/>
      <c r="C103" s="310" t="n">
        <f aca="false">SUM(C100:C102)</f>
        <v>0</v>
      </c>
      <c r="D103" s="103"/>
    </row>
    <row r="104" customFormat="false" ht="12.75" hidden="false" customHeight="false" outlineLevel="0" collapsed="false">
      <c r="A104" s="128" t="s">
        <v>332</v>
      </c>
      <c r="B104" s="311" t="n">
        <f aca="false">+B3</f>
        <v>220</v>
      </c>
      <c r="C104" s="260"/>
    </row>
    <row r="105" customFormat="false" ht="12.75" hidden="false" customHeight="false" outlineLevel="0" collapsed="false">
      <c r="A105" s="110" t="s">
        <v>361</v>
      </c>
      <c r="B105" s="225" t="n">
        <v>0.2</v>
      </c>
      <c r="C105" s="260"/>
    </row>
    <row r="106" customFormat="false" ht="12.75" hidden="false" customHeight="false" outlineLevel="0" collapsed="false">
      <c r="A106" s="110" t="s">
        <v>362</v>
      </c>
      <c r="B106" s="260"/>
      <c r="C106" s="78" t="n">
        <f aca="false">ROUND((C103/B104)*B105,2)</f>
        <v>0</v>
      </c>
    </row>
    <row r="107" customFormat="false" ht="12.75" hidden="false" customHeight="false" outlineLevel="0" collapsed="false">
      <c r="A107" s="110" t="s">
        <v>369</v>
      </c>
      <c r="B107" s="128" t="n">
        <v>60</v>
      </c>
      <c r="C107" s="260"/>
    </row>
    <row r="108" customFormat="false" ht="12.75" hidden="false" customHeight="false" outlineLevel="0" collapsed="false">
      <c r="A108" s="110" t="s">
        <v>370</v>
      </c>
      <c r="B108" s="128" t="n">
        <v>52.5</v>
      </c>
      <c r="C108" s="260"/>
    </row>
    <row r="109" customFormat="false" ht="12.75" hidden="false" customHeight="false" outlineLevel="0" collapsed="false">
      <c r="A109" s="110" t="s">
        <v>371</v>
      </c>
      <c r="B109" s="128" t="n">
        <f aca="false">+B107/B108</f>
        <v>1.14285714285714</v>
      </c>
      <c r="C109" s="260"/>
    </row>
    <row r="110" customFormat="false" ht="12.75" hidden="false" customHeight="false" outlineLevel="0" collapsed="false">
      <c r="A110" s="110" t="s">
        <v>372</v>
      </c>
      <c r="B110" s="128" t="n">
        <f aca="false">ROUND(+B109*B99,2)</f>
        <v>173.93</v>
      </c>
      <c r="C110" s="260"/>
    </row>
    <row r="111" customFormat="false" ht="12.75" hidden="false" customHeight="false" outlineLevel="0" collapsed="false">
      <c r="A111" s="110" t="s">
        <v>373</v>
      </c>
      <c r="B111" s="128" t="n">
        <f aca="false">ROUND(B110-B99,2)</f>
        <v>21.74</v>
      </c>
      <c r="C111" s="312"/>
    </row>
    <row r="112" customFormat="false" ht="12.75" hidden="false" customHeight="false" outlineLevel="0" collapsed="false">
      <c r="A112" s="268" t="s">
        <v>374</v>
      </c>
      <c r="B112" s="268"/>
      <c r="C112" s="272" t="n">
        <f aca="false">+B111*C106</f>
        <v>0</v>
      </c>
    </row>
    <row r="114" customFormat="false" ht="12.75" hidden="false" customHeight="false" outlineLevel="0" collapsed="false">
      <c r="A114" s="285" t="s">
        <v>375</v>
      </c>
      <c r="B114" s="285"/>
      <c r="C114" s="285"/>
    </row>
    <row r="115" customFormat="false" ht="12.75" hidden="false" customHeight="false" outlineLevel="0" collapsed="false">
      <c r="A115" s="128" t="s">
        <v>347</v>
      </c>
      <c r="B115" s="128" t="n">
        <f aca="false">+$B$4</f>
        <v>365.25</v>
      </c>
      <c r="C115" s="260"/>
    </row>
    <row r="116" customFormat="false" ht="12.75" hidden="false" customHeight="false" outlineLevel="0" collapsed="false">
      <c r="A116" s="128" t="s">
        <v>349</v>
      </c>
      <c r="B116" s="110" t="n">
        <v>12</v>
      </c>
      <c r="C116" s="260"/>
    </row>
    <row r="117" customFormat="false" ht="12.75" hidden="false" customHeight="false" outlineLevel="0" collapsed="false">
      <c r="A117" s="128" t="s">
        <v>358</v>
      </c>
      <c r="B117" s="225" t="n">
        <v>1</v>
      </c>
      <c r="C117" s="260"/>
    </row>
    <row r="118" customFormat="false" ht="12.75" hidden="false" customHeight="false" outlineLevel="0" collapsed="false">
      <c r="A118" s="110" t="s">
        <v>376</v>
      </c>
      <c r="B118" s="348" t="n">
        <f aca="false">+B5</f>
        <v>21.7410714285714</v>
      </c>
      <c r="C118" s="260"/>
    </row>
    <row r="119" customFormat="false" ht="12.75" hidden="false" customHeight="false" outlineLevel="0" collapsed="false">
      <c r="A119" s="315" t="s">
        <v>377</v>
      </c>
      <c r="B119" s="316"/>
      <c r="C119" s="260"/>
    </row>
    <row r="120" customFormat="false" ht="12.75" hidden="false" customHeight="false" outlineLevel="0" collapsed="false">
      <c r="A120" s="128" t="s">
        <v>378</v>
      </c>
      <c r="B120" s="225" t="n">
        <v>0.06</v>
      </c>
      <c r="C120" s="260"/>
    </row>
    <row r="121" customFormat="false" ht="12.75" hidden="false" customHeight="false" outlineLevel="0" collapsed="false">
      <c r="A121" s="268" t="s">
        <v>379</v>
      </c>
      <c r="B121" s="268"/>
      <c r="C121" s="288" t="n">
        <f aca="false">ROUND((B118*(B119*2)-($B$6*B120)),2)</f>
        <v>0</v>
      </c>
    </row>
    <row r="123" customFormat="false" ht="12.75" hidden="false" customHeight="false" outlineLevel="0" collapsed="false">
      <c r="A123" s="285" t="s">
        <v>380</v>
      </c>
      <c r="B123" s="285"/>
      <c r="C123" s="285"/>
    </row>
    <row r="124" customFormat="false" ht="12.75" hidden="false" customHeight="false" outlineLevel="0" collapsed="false">
      <c r="A124" s="128" t="s">
        <v>347</v>
      </c>
      <c r="B124" s="128" t="n">
        <f aca="false">+$B$4</f>
        <v>365.25</v>
      </c>
      <c r="C124" s="260"/>
    </row>
    <row r="125" customFormat="false" ht="12.75" hidden="false" customHeight="false" outlineLevel="0" collapsed="false">
      <c r="A125" s="128" t="s">
        <v>349</v>
      </c>
      <c r="B125" s="110" t="n">
        <v>12</v>
      </c>
      <c r="C125" s="260"/>
    </row>
    <row r="126" customFormat="false" ht="12.75" hidden="false" customHeight="false" outlineLevel="0" collapsed="false">
      <c r="A126" s="128" t="s">
        <v>358</v>
      </c>
      <c r="B126" s="225" t="n">
        <v>1</v>
      </c>
      <c r="C126" s="260"/>
    </row>
    <row r="127" customFormat="false" ht="12.75" hidden="false" customHeight="false" outlineLevel="0" collapsed="false">
      <c r="A127" s="110" t="s">
        <v>376</v>
      </c>
      <c r="B127" s="348" t="n">
        <f aca="false">+B5</f>
        <v>21.7410714285714</v>
      </c>
      <c r="C127" s="260"/>
    </row>
    <row r="128" customFormat="false" ht="12.75" hidden="false" customHeight="false" outlineLevel="0" collapsed="false">
      <c r="A128" s="315" t="s">
        <v>381</v>
      </c>
      <c r="B128" s="316"/>
      <c r="C128" s="260"/>
    </row>
    <row r="129" customFormat="false" ht="12.75" hidden="false" customHeight="false" outlineLevel="0" collapsed="false">
      <c r="A129" s="128" t="s">
        <v>454</v>
      </c>
      <c r="B129" s="225" t="n">
        <v>0.2</v>
      </c>
      <c r="C129" s="260"/>
    </row>
    <row r="130" customFormat="false" ht="12.75" hidden="false" customHeight="false" outlineLevel="0" collapsed="false">
      <c r="A130" s="268" t="s">
        <v>381</v>
      </c>
      <c r="B130" s="268"/>
      <c r="C130" s="288" t="n">
        <f aca="false">ROUND((B127*(B128)-((B127*B128)*B129)),2)</f>
        <v>0</v>
      </c>
    </row>
    <row r="132" customFormat="false" ht="12.75" hidden="false" customHeight="false" outlineLevel="0" collapsed="false">
      <c r="A132" s="285" t="s">
        <v>383</v>
      </c>
      <c r="B132" s="285"/>
      <c r="C132" s="285"/>
    </row>
    <row r="133" customFormat="false" ht="12.75" hidden="false" customHeight="false" outlineLevel="0" collapsed="false">
      <c r="A133" s="128" t="s">
        <v>384</v>
      </c>
      <c r="B133" s="129" t="n">
        <f aca="false">+B7</f>
        <v>0</v>
      </c>
      <c r="C133" s="260"/>
    </row>
    <row r="134" customFormat="false" ht="12.75" hidden="false" customHeight="false" outlineLevel="0" collapsed="false">
      <c r="A134" s="128" t="s">
        <v>385</v>
      </c>
      <c r="B134" s="128" t="n">
        <v>12</v>
      </c>
      <c r="C134" s="260"/>
    </row>
    <row r="135" customFormat="false" ht="12.75" hidden="false" customHeight="false" outlineLevel="0" collapsed="false">
      <c r="A135" s="246" t="s">
        <v>386</v>
      </c>
      <c r="B135" s="274"/>
      <c r="C135" s="260"/>
    </row>
    <row r="136" customFormat="false" ht="12.75" hidden="false" customHeight="false" outlineLevel="0" collapsed="false">
      <c r="A136" s="268" t="s">
        <v>387</v>
      </c>
      <c r="B136" s="268"/>
      <c r="C136" s="288" t="n">
        <f aca="false">ROUND(+(B133/B134)*B135,2)</f>
        <v>0</v>
      </c>
    </row>
    <row r="138" customFormat="false" ht="12.75" hidden="false" customHeight="true" outlineLevel="0" collapsed="false">
      <c r="A138" s="317" t="s">
        <v>388</v>
      </c>
      <c r="B138" s="317"/>
      <c r="C138" s="317"/>
    </row>
    <row r="139" s="34" customFormat="true" ht="12.75" hidden="false" customHeight="false" outlineLevel="0" collapsed="false">
      <c r="A139" s="318" t="s">
        <v>389</v>
      </c>
      <c r="B139" s="274" t="n">
        <f aca="false">+B135</f>
        <v>0</v>
      </c>
      <c r="C139" s="260"/>
    </row>
    <row r="140" customFormat="false" ht="12.75" hidden="false" customHeight="false" outlineLevel="0" collapsed="false">
      <c r="A140" s="128" t="s">
        <v>390</v>
      </c>
      <c r="B140" s="129" t="n">
        <f aca="false">+'Vigilante 5x2 12h Arm'!$D$26</f>
        <v>0</v>
      </c>
      <c r="C140" s="260"/>
    </row>
    <row r="141" customFormat="false" ht="12.75" hidden="false" customHeight="false" outlineLevel="0" collapsed="false">
      <c r="A141" s="128" t="s">
        <v>223</v>
      </c>
      <c r="B141" s="129" t="n">
        <f aca="false">+'Vigilante 5x2 12h Arm'!$D$32</f>
        <v>0</v>
      </c>
      <c r="C141" s="260"/>
    </row>
    <row r="142" customFormat="false" ht="12.75" hidden="false" customHeight="false" outlineLevel="0" collapsed="false">
      <c r="A142" s="319" t="s">
        <v>226</v>
      </c>
      <c r="B142" s="129" t="n">
        <f aca="false">+'Vigilante 5x2 12h Arm'!$D$34</f>
        <v>0</v>
      </c>
      <c r="C142" s="260"/>
    </row>
    <row r="143" customFormat="false" ht="12.75" hidden="false" customHeight="false" outlineLevel="0" collapsed="false">
      <c r="A143" s="319" t="s">
        <v>228</v>
      </c>
      <c r="B143" s="129" t="n">
        <f aca="false">+'Vigilante 5x2 12h Arm'!$D$35</f>
        <v>0</v>
      </c>
      <c r="C143" s="260"/>
    </row>
    <row r="144" customFormat="false" ht="12.75" hidden="false" customHeight="false" outlineLevel="0" collapsed="false">
      <c r="A144" s="309" t="s">
        <v>391</v>
      </c>
      <c r="B144" s="310" t="n">
        <f aca="false">SUM(B140:B143)</f>
        <v>0</v>
      </c>
      <c r="C144" s="260"/>
    </row>
    <row r="145" customFormat="false" ht="12.75" hidden="false" customHeight="false" outlineLevel="0" collapsed="false">
      <c r="A145" s="76" t="s">
        <v>392</v>
      </c>
      <c r="B145" s="225" t="n">
        <v>0.4</v>
      </c>
      <c r="C145" s="260"/>
    </row>
    <row r="146" customFormat="false" ht="12.75" hidden="false" customHeight="false" outlineLevel="0" collapsed="false">
      <c r="A146" s="76" t="s">
        <v>393</v>
      </c>
      <c r="B146" s="225" t="n">
        <f aca="false">+'Vigilante 5x2 12h Arm'!$C$47</f>
        <v>0.08</v>
      </c>
      <c r="C146" s="260"/>
    </row>
    <row r="147" customFormat="false" ht="12.75" hidden="false" customHeight="false" outlineLevel="0" collapsed="false">
      <c r="A147" s="270" t="s">
        <v>394</v>
      </c>
      <c r="B147" s="270"/>
      <c r="C147" s="271" t="n">
        <f aca="false">ROUND(+B144*B145*B146*B139,2)</f>
        <v>0</v>
      </c>
    </row>
    <row r="148" customFormat="false" ht="12.75" hidden="false" customHeight="false" outlineLevel="0" collapsed="false">
      <c r="A148" s="76" t="s">
        <v>395</v>
      </c>
      <c r="B148" s="225" t="n">
        <v>0.1</v>
      </c>
      <c r="C148" s="260"/>
    </row>
    <row r="149" customFormat="false" ht="12.75" hidden="false" customHeight="false" outlineLevel="0" collapsed="false">
      <c r="A149" s="270" t="s">
        <v>396</v>
      </c>
      <c r="B149" s="270"/>
      <c r="C149" s="320" t="n">
        <f aca="false">ROUND(B148*B146*B144*B139,2)</f>
        <v>0</v>
      </c>
    </row>
    <row r="150" customFormat="false" ht="12.75" hidden="false" customHeight="false" outlineLevel="0" collapsed="false">
      <c r="A150" s="268" t="s">
        <v>397</v>
      </c>
      <c r="B150" s="268"/>
      <c r="C150" s="272" t="n">
        <f aca="false">+C149+C147</f>
        <v>0</v>
      </c>
    </row>
    <row r="152" customFormat="false" ht="12.75" hidden="false" customHeight="false" outlineLevel="0" collapsed="false">
      <c r="A152" s="285" t="s">
        <v>398</v>
      </c>
      <c r="B152" s="285"/>
      <c r="C152" s="285"/>
    </row>
    <row r="153" customFormat="false" ht="12.75" hidden="false" customHeight="false" outlineLevel="0" collapsed="false">
      <c r="A153" s="128" t="s">
        <v>384</v>
      </c>
      <c r="B153" s="129" t="n">
        <f aca="false">+B7</f>
        <v>0</v>
      </c>
      <c r="C153" s="260"/>
    </row>
    <row r="154" customFormat="false" ht="12.75" hidden="false" customHeight="false" outlineLevel="0" collapsed="false">
      <c r="A154" s="128" t="s">
        <v>399</v>
      </c>
      <c r="B154" s="321" t="n">
        <v>30</v>
      </c>
      <c r="C154" s="260"/>
    </row>
    <row r="155" customFormat="false" ht="12.75" hidden="false" customHeight="false" outlineLevel="0" collapsed="false">
      <c r="A155" s="128" t="s">
        <v>385</v>
      </c>
      <c r="B155" s="128" t="n">
        <v>12</v>
      </c>
      <c r="C155" s="260"/>
    </row>
    <row r="156" customFormat="false" ht="12.75" hidden="false" customHeight="false" outlineLevel="0" collapsed="false">
      <c r="A156" s="128" t="s">
        <v>400</v>
      </c>
      <c r="B156" s="128" t="n">
        <v>5</v>
      </c>
      <c r="C156" s="260"/>
    </row>
    <row r="157" customFormat="false" ht="12.75" hidden="false" customHeight="false" outlineLevel="0" collapsed="false">
      <c r="A157" s="246" t="s">
        <v>401</v>
      </c>
      <c r="B157" s="274"/>
      <c r="C157" s="260"/>
    </row>
    <row r="158" customFormat="false" ht="12.75" hidden="false" customHeight="false" outlineLevel="0" collapsed="false">
      <c r="A158" s="268" t="s">
        <v>402</v>
      </c>
      <c r="B158" s="268"/>
      <c r="C158" s="288" t="n">
        <f aca="false">+ROUND(((B153/B154/B155)*B156)*B157,2)</f>
        <v>0</v>
      </c>
    </row>
    <row r="160" customFormat="false" ht="12.75" hidden="false" customHeight="true" outlineLevel="0" collapsed="false">
      <c r="A160" s="317" t="s">
        <v>403</v>
      </c>
      <c r="B160" s="317"/>
      <c r="C160" s="317"/>
    </row>
    <row r="161" customFormat="false" ht="12.75" hidden="false" customHeight="false" outlineLevel="0" collapsed="false">
      <c r="A161" s="318" t="s">
        <v>404</v>
      </c>
      <c r="B161" s="274" t="n">
        <f aca="false">+B157</f>
        <v>0</v>
      </c>
      <c r="C161" s="260"/>
    </row>
    <row r="162" customFormat="false" ht="12.75" hidden="false" customHeight="false" outlineLevel="0" collapsed="false">
      <c r="A162" s="128" t="s">
        <v>390</v>
      </c>
      <c r="B162" s="129" t="n">
        <f aca="false">+'Vigilante 5x2 12h Arm'!$D$26</f>
        <v>0</v>
      </c>
      <c r="C162" s="260"/>
    </row>
    <row r="163" customFormat="false" ht="12.75" hidden="false" customHeight="false" outlineLevel="0" collapsed="false">
      <c r="A163" s="128" t="s">
        <v>223</v>
      </c>
      <c r="B163" s="129" t="n">
        <f aca="false">+'Vigilante 5x2 12h Arm'!$D$32</f>
        <v>0</v>
      </c>
      <c r="C163" s="260"/>
    </row>
    <row r="164" customFormat="false" ht="12.75" hidden="false" customHeight="false" outlineLevel="0" collapsed="false">
      <c r="A164" s="319" t="s">
        <v>226</v>
      </c>
      <c r="B164" s="129" t="n">
        <f aca="false">+'Vigilante 5x2 12h Arm'!$D$34</f>
        <v>0</v>
      </c>
      <c r="C164" s="260"/>
    </row>
    <row r="165" customFormat="false" ht="12.75" hidden="false" customHeight="false" outlineLevel="0" collapsed="false">
      <c r="A165" s="319" t="s">
        <v>228</v>
      </c>
      <c r="B165" s="129" t="n">
        <f aca="false">+'Vigilante 5x2 12h Arm'!$D$35</f>
        <v>0</v>
      </c>
      <c r="C165" s="260"/>
    </row>
    <row r="166" customFormat="false" ht="12.75" hidden="false" customHeight="false" outlineLevel="0" collapsed="false">
      <c r="A166" s="309" t="s">
        <v>391</v>
      </c>
      <c r="B166" s="310" t="n">
        <f aca="false">SUM(B162:B165)</f>
        <v>0</v>
      </c>
      <c r="C166" s="260"/>
    </row>
    <row r="167" customFormat="false" ht="12.75" hidden="false" customHeight="false" outlineLevel="0" collapsed="false">
      <c r="A167" s="76" t="s">
        <v>392</v>
      </c>
      <c r="B167" s="225" t="n">
        <v>0.4</v>
      </c>
      <c r="C167" s="260"/>
    </row>
    <row r="168" customFormat="false" ht="12.75" hidden="false" customHeight="false" outlineLevel="0" collapsed="false">
      <c r="A168" s="76" t="s">
        <v>393</v>
      </c>
      <c r="B168" s="225" t="n">
        <f aca="false">+'Vigilante 5x2 12h Arm'!$C$47</f>
        <v>0.08</v>
      </c>
      <c r="C168" s="260"/>
    </row>
    <row r="169" customFormat="false" ht="12.75" hidden="false" customHeight="false" outlineLevel="0" collapsed="false">
      <c r="A169" s="270" t="s">
        <v>394</v>
      </c>
      <c r="B169" s="270"/>
      <c r="C169" s="271" t="n">
        <f aca="false">ROUND(+B166*B167*B168*B161,2)</f>
        <v>0</v>
      </c>
    </row>
    <row r="170" customFormat="false" ht="12.75" hidden="false" customHeight="false" outlineLevel="0" collapsed="false">
      <c r="A170" s="76" t="s">
        <v>395</v>
      </c>
      <c r="B170" s="225" t="n">
        <v>0.1</v>
      </c>
      <c r="C170" s="260"/>
    </row>
    <row r="171" customFormat="false" ht="12.75" hidden="false" customHeight="false" outlineLevel="0" collapsed="false">
      <c r="A171" s="270" t="s">
        <v>396</v>
      </c>
      <c r="B171" s="270"/>
      <c r="C171" s="320" t="n">
        <f aca="false">ROUND(B170*B168*B166*B161,2)</f>
        <v>0</v>
      </c>
    </row>
    <row r="172" customFormat="false" ht="12.75" hidden="false" customHeight="false" outlineLevel="0" collapsed="false">
      <c r="A172" s="268" t="s">
        <v>405</v>
      </c>
      <c r="B172" s="268"/>
      <c r="C172" s="272" t="n">
        <f aca="false">+C171+C169</f>
        <v>0</v>
      </c>
    </row>
    <row r="174" customFormat="false" ht="12.75" hidden="false" customHeight="true" outlineLevel="0" collapsed="false">
      <c r="A174" s="317" t="s">
        <v>406</v>
      </c>
      <c r="B174" s="317"/>
      <c r="C174" s="317"/>
    </row>
    <row r="175" customFormat="false" ht="14.25" hidden="false" customHeight="true" outlineLevel="0" collapsed="false">
      <c r="A175" s="322" t="s">
        <v>407</v>
      </c>
      <c r="B175" s="322"/>
      <c r="C175" s="322"/>
    </row>
    <row r="176" customFormat="false" ht="12.75" hidden="false" customHeight="false" outlineLevel="0" collapsed="false">
      <c r="A176" s="322"/>
      <c r="B176" s="322"/>
      <c r="C176" s="322"/>
    </row>
    <row r="177" customFormat="false" ht="12.75" hidden="false" customHeight="false" outlineLevel="0" collapsed="false">
      <c r="A177" s="322"/>
      <c r="B177" s="322"/>
      <c r="C177" s="322"/>
    </row>
    <row r="178" customFormat="false" ht="12.75" hidden="false" customHeight="false" outlineLevel="0" collapsed="false">
      <c r="A178" s="322"/>
      <c r="B178" s="322"/>
      <c r="C178" s="322"/>
    </row>
    <row r="179" customFormat="false" ht="12.75" hidden="false" customHeight="false" outlineLevel="0" collapsed="false">
      <c r="A179" s="323"/>
      <c r="B179" s="323"/>
      <c r="C179" s="323"/>
    </row>
    <row r="180" customFormat="false" ht="12.75" hidden="false" customHeight="true" outlineLevel="0" collapsed="false">
      <c r="A180" s="317" t="s">
        <v>408</v>
      </c>
      <c r="B180" s="317"/>
      <c r="C180" s="317"/>
    </row>
    <row r="181" customFormat="false" ht="12.75" hidden="false" customHeight="false" outlineLevel="0" collapsed="false">
      <c r="A181" s="128" t="s">
        <v>409</v>
      </c>
      <c r="B181" s="129" t="n">
        <f aca="false">+$B$7</f>
        <v>0</v>
      </c>
      <c r="C181" s="260"/>
    </row>
    <row r="182" customFormat="false" ht="12.75" hidden="false" customHeight="false" outlineLevel="0" collapsed="false">
      <c r="A182" s="128" t="s">
        <v>349</v>
      </c>
      <c r="B182" s="128" t="n">
        <v>30</v>
      </c>
      <c r="C182" s="260"/>
    </row>
    <row r="183" customFormat="false" ht="12.75" hidden="false" customHeight="false" outlineLevel="0" collapsed="false">
      <c r="A183" s="128" t="s">
        <v>410</v>
      </c>
      <c r="B183" s="128" t="n">
        <v>12</v>
      </c>
      <c r="C183" s="260"/>
    </row>
    <row r="184" customFormat="false" ht="12.75" hidden="false" customHeight="false" outlineLevel="0" collapsed="false">
      <c r="A184" s="246" t="s">
        <v>411</v>
      </c>
      <c r="B184" s="246"/>
      <c r="C184" s="260"/>
    </row>
    <row r="185" customFormat="false" ht="12.75" hidden="false" customHeight="false" outlineLevel="0" collapsed="false">
      <c r="A185" s="268" t="s">
        <v>412</v>
      </c>
      <c r="B185" s="268"/>
      <c r="C185" s="253" t="n">
        <f aca="false">+ROUND((B181/B182/B183)*B184,2)</f>
        <v>0</v>
      </c>
    </row>
    <row r="187" customFormat="false" ht="12.75" hidden="false" customHeight="true" outlineLevel="0" collapsed="false">
      <c r="A187" s="317" t="s">
        <v>413</v>
      </c>
      <c r="B187" s="317"/>
      <c r="C187" s="317"/>
    </row>
    <row r="188" customFormat="false" ht="12.75" hidden="false" customHeight="false" outlineLevel="0" collapsed="false">
      <c r="A188" s="128" t="s">
        <v>409</v>
      </c>
      <c r="B188" s="129" t="n">
        <f aca="false">+$B$7</f>
        <v>0</v>
      </c>
      <c r="C188" s="260"/>
    </row>
    <row r="189" customFormat="false" ht="12.75" hidden="false" customHeight="false" outlineLevel="0" collapsed="false">
      <c r="A189" s="128" t="s">
        <v>349</v>
      </c>
      <c r="B189" s="128" t="n">
        <v>30</v>
      </c>
      <c r="C189" s="260"/>
    </row>
    <row r="190" customFormat="false" ht="12.75" hidden="false" customHeight="false" outlineLevel="0" collapsed="false">
      <c r="A190" s="128" t="s">
        <v>410</v>
      </c>
      <c r="B190" s="128" t="n">
        <v>12</v>
      </c>
      <c r="C190" s="260"/>
    </row>
    <row r="191" customFormat="false" ht="12.75" hidden="false" customHeight="false" outlineLevel="0" collapsed="false">
      <c r="A191" s="110" t="s">
        <v>414</v>
      </c>
      <c r="B191" s="128" t="n">
        <v>5</v>
      </c>
      <c r="C191" s="260"/>
    </row>
    <row r="192" customFormat="false" ht="12.75" hidden="false" customHeight="false" outlineLevel="0" collapsed="false">
      <c r="A192" s="246" t="s">
        <v>415</v>
      </c>
      <c r="B192" s="274"/>
      <c r="C192" s="260"/>
    </row>
    <row r="193" customFormat="false" ht="12.75" hidden="false" customHeight="false" outlineLevel="0" collapsed="false">
      <c r="A193" s="246" t="s">
        <v>416</v>
      </c>
      <c r="B193" s="274"/>
      <c r="C193" s="260"/>
    </row>
    <row r="194" customFormat="false" ht="12.75" hidden="false" customHeight="false" outlineLevel="0" collapsed="false">
      <c r="A194" s="268" t="s">
        <v>417</v>
      </c>
      <c r="B194" s="268"/>
      <c r="C194" s="288" t="n">
        <f aca="false">ROUND(+B188/B189/B190*B191*B192*B193,2)</f>
        <v>0</v>
      </c>
    </row>
    <row r="196" customFormat="false" ht="12.75" hidden="false" customHeight="true" outlineLevel="0" collapsed="false">
      <c r="A196" s="317" t="s">
        <v>418</v>
      </c>
      <c r="B196" s="317"/>
      <c r="C196" s="317"/>
    </row>
    <row r="197" customFormat="false" ht="12.75" hidden="false" customHeight="false" outlineLevel="0" collapsed="false">
      <c r="A197" s="128" t="s">
        <v>409</v>
      </c>
      <c r="B197" s="129" t="n">
        <f aca="false">+$B$7</f>
        <v>0</v>
      </c>
      <c r="C197" s="260"/>
    </row>
    <row r="198" customFormat="false" ht="12.75" hidden="false" customHeight="false" outlineLevel="0" collapsed="false">
      <c r="A198" s="128" t="s">
        <v>349</v>
      </c>
      <c r="B198" s="128" t="n">
        <v>30</v>
      </c>
      <c r="C198" s="260"/>
    </row>
    <row r="199" customFormat="false" ht="12.75" hidden="false" customHeight="false" outlineLevel="0" collapsed="false">
      <c r="A199" s="128" t="s">
        <v>410</v>
      </c>
      <c r="B199" s="128" t="n">
        <v>12</v>
      </c>
      <c r="C199" s="260"/>
    </row>
    <row r="200" customFormat="false" ht="12.75" hidden="false" customHeight="false" outlineLevel="0" collapsed="false">
      <c r="A200" s="110" t="s">
        <v>419</v>
      </c>
      <c r="B200" s="128" t="n">
        <v>15</v>
      </c>
      <c r="C200" s="260"/>
    </row>
    <row r="201" customFormat="false" ht="12.75" hidden="false" customHeight="false" outlineLevel="0" collapsed="false">
      <c r="A201" s="246" t="s">
        <v>420</v>
      </c>
      <c r="B201" s="274"/>
      <c r="C201" s="260"/>
    </row>
    <row r="202" customFormat="false" ht="12.75" hidden="false" customHeight="false" outlineLevel="0" collapsed="false">
      <c r="A202" s="268" t="s">
        <v>421</v>
      </c>
      <c r="B202" s="268"/>
      <c r="C202" s="288" t="n">
        <f aca="false">ROUND(+B197/B198/B199*B200*B201,2)</f>
        <v>0</v>
      </c>
    </row>
    <row r="204" customFormat="false" ht="12.75" hidden="false" customHeight="true" outlineLevel="0" collapsed="false">
      <c r="A204" s="317" t="s">
        <v>422</v>
      </c>
      <c r="B204" s="317"/>
      <c r="C204" s="317"/>
    </row>
    <row r="205" customFormat="false" ht="12.75" hidden="false" customHeight="false" outlineLevel="0" collapsed="false">
      <c r="A205" s="128" t="s">
        <v>409</v>
      </c>
      <c r="B205" s="129" t="n">
        <f aca="false">+$B$7</f>
        <v>0</v>
      </c>
      <c r="C205" s="260"/>
    </row>
    <row r="206" customFormat="false" ht="12.75" hidden="false" customHeight="false" outlineLevel="0" collapsed="false">
      <c r="A206" s="128" t="s">
        <v>349</v>
      </c>
      <c r="B206" s="128" t="n">
        <v>30</v>
      </c>
      <c r="C206" s="260"/>
    </row>
    <row r="207" customFormat="false" ht="12.75" hidden="false" customHeight="false" outlineLevel="0" collapsed="false">
      <c r="A207" s="128" t="s">
        <v>410</v>
      </c>
      <c r="B207" s="128" t="n">
        <v>12</v>
      </c>
      <c r="C207" s="260"/>
    </row>
    <row r="208" customFormat="false" ht="12.75" hidden="false" customHeight="false" outlineLevel="0" collapsed="false">
      <c r="A208" s="110" t="s">
        <v>419</v>
      </c>
      <c r="B208" s="128" t="n">
        <v>5</v>
      </c>
      <c r="C208" s="260"/>
    </row>
    <row r="209" customFormat="false" ht="12.75" hidden="false" customHeight="false" outlineLevel="0" collapsed="false">
      <c r="A209" s="246" t="s">
        <v>423</v>
      </c>
      <c r="B209" s="274"/>
      <c r="C209" s="260"/>
    </row>
    <row r="210" customFormat="false" ht="12.75" hidden="false" customHeight="false" outlineLevel="0" collapsed="false">
      <c r="A210" s="268" t="s">
        <v>424</v>
      </c>
      <c r="B210" s="268"/>
      <c r="C210" s="288" t="n">
        <f aca="false">ROUND(+B205/B206/B207*B208*B209,2)</f>
        <v>0</v>
      </c>
    </row>
    <row r="212" customFormat="false" ht="12.75" hidden="false" customHeight="false" outlineLevel="0" collapsed="false">
      <c r="A212" s="285" t="s">
        <v>425</v>
      </c>
      <c r="B212" s="285"/>
      <c r="C212" s="285"/>
    </row>
    <row r="213" customFormat="false" ht="12.75" hidden="false" customHeight="false" outlineLevel="0" collapsed="false">
      <c r="A213" s="324" t="s">
        <v>197</v>
      </c>
      <c r="B213" s="325"/>
      <c r="C213" s="129" t="n">
        <f aca="false">+'Vigilante 5x2 12h Arm'!D26-'Vigilante 5x2 12h Arm'!D23</f>
        <v>0</v>
      </c>
    </row>
    <row r="214" customFormat="false" ht="12.75" hidden="false" customHeight="false" outlineLevel="0" collapsed="false">
      <c r="A214" s="324" t="s">
        <v>256</v>
      </c>
      <c r="B214" s="325"/>
      <c r="C214" s="129" t="n">
        <f aca="false">+'Vigilante 5x2 12h Arm'!D71</f>
        <v>0</v>
      </c>
    </row>
    <row r="215" customFormat="false" ht="12.75" hidden="false" customHeight="false" outlineLevel="0" collapsed="false">
      <c r="A215" s="324" t="s">
        <v>287</v>
      </c>
      <c r="B215" s="325"/>
      <c r="C215" s="129" t="n">
        <f aca="false">+'Vigilante 5x2 12h Arm'!D119</f>
        <v>0</v>
      </c>
    </row>
    <row r="216" customFormat="false" ht="12.75" hidden="false" customHeight="false" outlineLevel="0" collapsed="false">
      <c r="A216" s="324" t="s">
        <v>268</v>
      </c>
      <c r="B216" s="325"/>
      <c r="C216" s="129" t="n">
        <f aca="false">+'Vigilante 5x2 12h Arm'!D110</f>
        <v>0</v>
      </c>
    </row>
    <row r="217" customFormat="false" ht="12.75" hidden="false" customHeight="false" outlineLevel="0" collapsed="false">
      <c r="A217" s="324" t="s">
        <v>276</v>
      </c>
      <c r="B217" s="325"/>
      <c r="C217" s="129" t="n">
        <f aca="false">+'Vigilante 5x2 12h Arm'!D111</f>
        <v>0</v>
      </c>
    </row>
    <row r="218" customFormat="false" ht="12.75" hidden="false" customHeight="false" outlineLevel="0" collapsed="false">
      <c r="A218" s="324" t="s">
        <v>258</v>
      </c>
      <c r="B218" s="325"/>
      <c r="C218" s="129" t="n">
        <f aca="false">+'Vigilante 5x2 12h Arm'!D82</f>
        <v>0</v>
      </c>
    </row>
    <row r="219" customFormat="false" ht="12.75" hidden="false" customHeight="false" outlineLevel="0" collapsed="false">
      <c r="A219" s="324" t="s">
        <v>337</v>
      </c>
      <c r="B219" s="325"/>
      <c r="C219" s="129" t="n">
        <f aca="false">SUM(C213:C218)</f>
        <v>0</v>
      </c>
    </row>
    <row r="220" customFormat="false" ht="12.75" hidden="false" customHeight="false" outlineLevel="0" collapsed="false">
      <c r="A220" s="324" t="s">
        <v>332</v>
      </c>
      <c r="B220" s="326" t="n">
        <v>220</v>
      </c>
      <c r="C220" s="327"/>
    </row>
    <row r="221" customFormat="false" ht="12.75" hidden="false" customHeight="false" outlineLevel="0" collapsed="false">
      <c r="A221" s="324" t="s">
        <v>338</v>
      </c>
      <c r="B221" s="325"/>
      <c r="C221" s="129" t="n">
        <f aca="false">ROUND(C219/B220,2)</f>
        <v>0</v>
      </c>
    </row>
    <row r="222" customFormat="false" ht="12.75" hidden="false" customHeight="false" outlineLevel="0" collapsed="false">
      <c r="A222" s="128" t="s">
        <v>426</v>
      </c>
      <c r="B222" s="295" t="n">
        <f aca="false">+B5</f>
        <v>21.7410714285714</v>
      </c>
      <c r="C222" s="304"/>
    </row>
    <row r="223" customFormat="false" ht="12.75" hidden="false" customHeight="false" outlineLevel="0" collapsed="false">
      <c r="A223" s="268" t="s">
        <v>356</v>
      </c>
      <c r="B223" s="268"/>
      <c r="C223" s="272" t="n">
        <f aca="false">ROUND(+B222*C221,2)</f>
        <v>0</v>
      </c>
    </row>
    <row r="225" customFormat="false" ht="12.75" hidden="false" customHeight="true" outlineLevel="0" collapsed="false">
      <c r="A225" s="317" t="s">
        <v>427</v>
      </c>
      <c r="B225" s="317"/>
      <c r="C225" s="317"/>
    </row>
    <row r="226" customFormat="false" ht="12.75" hidden="false" customHeight="true" outlineLevel="0" collapsed="false">
      <c r="A226" s="328" t="s">
        <v>428</v>
      </c>
      <c r="B226" s="328"/>
      <c r="C226" s="328"/>
    </row>
    <row r="227" customFormat="false" ht="12.75" hidden="false" customHeight="false" outlineLevel="0" collapsed="false">
      <c r="A227" s="128" t="s">
        <v>409</v>
      </c>
      <c r="B227" s="129" t="n">
        <f aca="false">+$B$7</f>
        <v>0</v>
      </c>
      <c r="C227" s="260"/>
    </row>
    <row r="228" customFormat="false" ht="12.75" hidden="false" customHeight="false" outlineLevel="0" collapsed="false">
      <c r="A228" s="128" t="s">
        <v>429</v>
      </c>
      <c r="B228" s="129" t="n">
        <f aca="false">+B227*(1/3)</f>
        <v>0</v>
      </c>
      <c r="C228" s="260"/>
    </row>
    <row r="229" customFormat="false" ht="12.75" hidden="false" customHeight="false" outlineLevel="0" collapsed="false">
      <c r="A229" s="309" t="s">
        <v>391</v>
      </c>
      <c r="B229" s="310" t="n">
        <f aca="false">SUM(B227:B228)</f>
        <v>0</v>
      </c>
      <c r="C229" s="260"/>
    </row>
    <row r="230" customFormat="false" ht="12.75" hidden="false" customHeight="false" outlineLevel="0" collapsed="false">
      <c r="A230" s="128" t="s">
        <v>430</v>
      </c>
      <c r="B230" s="128" t="n">
        <v>4</v>
      </c>
      <c r="C230" s="260"/>
    </row>
    <row r="231" customFormat="false" ht="12.75" hidden="false" customHeight="false" outlineLevel="0" collapsed="false">
      <c r="A231" s="128" t="s">
        <v>410</v>
      </c>
      <c r="B231" s="128" t="n">
        <v>12</v>
      </c>
      <c r="C231" s="260"/>
    </row>
    <row r="232" customFormat="false" ht="12.75" hidden="false" customHeight="false" outlineLevel="0" collapsed="false">
      <c r="A232" s="246" t="s">
        <v>431</v>
      </c>
      <c r="B232" s="274"/>
      <c r="C232" s="260"/>
    </row>
    <row r="233" customFormat="false" ht="12.75" hidden="false" customHeight="false" outlineLevel="0" collapsed="false">
      <c r="A233" s="246" t="s">
        <v>432</v>
      </c>
      <c r="B233" s="274"/>
      <c r="C233" s="260"/>
    </row>
    <row r="234" customFormat="false" ht="12.75" hidden="false" customHeight="false" outlineLevel="0" collapsed="false">
      <c r="A234" s="268" t="s">
        <v>433</v>
      </c>
      <c r="B234" s="268"/>
      <c r="C234" s="288" t="n">
        <f aca="false">ROUND((((+B229*(B230/B231)/B231)*B232)*B233),2)</f>
        <v>0</v>
      </c>
    </row>
    <row r="235" customFormat="false" ht="12.75" hidden="false" customHeight="false" outlineLevel="0" collapsed="false">
      <c r="A235" s="268" t="s">
        <v>434</v>
      </c>
      <c r="B235" s="268"/>
      <c r="C235" s="268"/>
    </row>
    <row r="236" customFormat="false" ht="12.75" hidden="false" customHeight="false" outlineLevel="0" collapsed="false">
      <c r="A236" s="128" t="s">
        <v>409</v>
      </c>
      <c r="B236" s="129" t="n">
        <f aca="false">+'Vigilante 5x2 12h Arm'!D26</f>
        <v>0</v>
      </c>
      <c r="C236" s="260"/>
    </row>
    <row r="237" customFormat="false" ht="12.75" hidden="false" customHeight="false" outlineLevel="0" collapsed="false">
      <c r="A237" s="128" t="s">
        <v>223</v>
      </c>
      <c r="B237" s="129" t="n">
        <f aca="false">+'Vigilante 5x2 12h Arm'!D32</f>
        <v>0</v>
      </c>
      <c r="C237" s="260"/>
    </row>
    <row r="238" customFormat="false" ht="12.75" hidden="false" customHeight="false" outlineLevel="0" collapsed="false">
      <c r="A238" s="309" t="s">
        <v>391</v>
      </c>
      <c r="B238" s="310" t="n">
        <f aca="false">SUM(B236:B237)</f>
        <v>0</v>
      </c>
      <c r="C238" s="260"/>
    </row>
    <row r="239" customFormat="false" ht="12.75" hidden="false" customHeight="false" outlineLevel="0" collapsed="false">
      <c r="A239" s="128" t="s">
        <v>430</v>
      </c>
      <c r="B239" s="128" t="n">
        <v>4</v>
      </c>
      <c r="C239" s="260"/>
    </row>
    <row r="240" customFormat="false" ht="12.75" hidden="false" customHeight="false" outlineLevel="0" collapsed="false">
      <c r="A240" s="128" t="s">
        <v>410</v>
      </c>
      <c r="B240" s="128" t="n">
        <v>12</v>
      </c>
      <c r="C240" s="260"/>
    </row>
    <row r="241" customFormat="false" ht="12.75" hidden="false" customHeight="false" outlineLevel="0" collapsed="false">
      <c r="A241" s="246" t="s">
        <v>431</v>
      </c>
      <c r="B241" s="274"/>
      <c r="C241" s="260"/>
    </row>
    <row r="242" customFormat="false" ht="12.75" hidden="false" customHeight="false" outlineLevel="0" collapsed="false">
      <c r="A242" s="246" t="s">
        <v>432</v>
      </c>
      <c r="B242" s="274"/>
      <c r="C242" s="260"/>
    </row>
    <row r="243" customFormat="false" ht="12.75" hidden="false" customHeight="false" outlineLevel="0" collapsed="false">
      <c r="A243" s="110" t="s">
        <v>435</v>
      </c>
      <c r="B243" s="225" t="n">
        <f aca="false">+'Vigilante 5x2 12h Arm'!C48</f>
        <v>0.368</v>
      </c>
      <c r="C243" s="260"/>
    </row>
    <row r="244" customFormat="false" ht="12.75" hidden="false" customHeight="false" outlineLevel="0" collapsed="false">
      <c r="A244" s="268" t="s">
        <v>436</v>
      </c>
      <c r="B244" s="268"/>
      <c r="C244" s="272" t="n">
        <f aca="false">ROUND((((B238*(B239/B240)*B241)*B242)*B243),2)</f>
        <v>0</v>
      </c>
    </row>
  </sheetData>
  <mergeCells count="45"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12:B112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58:B158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02:B202"/>
    <mergeCell ref="A204:C204"/>
    <mergeCell ref="A210:B210"/>
    <mergeCell ref="A212:C212"/>
    <mergeCell ref="A223:B223"/>
    <mergeCell ref="A225:C225"/>
    <mergeCell ref="A226:C226"/>
    <mergeCell ref="A234:B234"/>
    <mergeCell ref="A235:C235"/>
    <mergeCell ref="A244:B244"/>
  </mergeCells>
  <printOptions headings="false" gridLines="false" gridLinesSet="true" horizontalCentered="false" verticalCentered="false"/>
  <pageMargins left="0.840277777777778" right="0.1" top="0.309722222222222" bottom="0.529861111111111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3" manualBreakCount="3">
    <brk id="66" man="true" max="16383" min="0"/>
    <brk id="131" man="true" max="16383" min="0"/>
    <brk id="195" man="true" max="16383" min="0"/>
  </rowBreaks>
</worksheet>
</file>

<file path=xl/worksheets/sheet16.xml><?xml version="1.0" encoding="utf-8"?>
<worksheet xmlns="http://schemas.openxmlformats.org/spreadsheetml/2006/main" xmlns:r="http://schemas.openxmlformats.org/officeDocument/2006/relationships">
  <sheetPr filterMode="false">
    <tabColor rgb="FF77E57C"/>
    <pageSetUpPr fitToPage="false"/>
  </sheetPr>
  <dimension ref="A1:F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0" activeCellId="0" sqref="A20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1.75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4" customFormat="false" ht="12.75" hidden="false" customHeight="false" outlineLevel="0" collapsed="false">
      <c r="A4" s="205" t="s">
        <v>188</v>
      </c>
      <c r="B4" s="205"/>
      <c r="C4" s="205"/>
      <c r="D4" s="205"/>
    </row>
    <row r="5" s="19" customFormat="true" ht="28.5" hidden="false" customHeight="true" outlineLevel="0" collapsed="false">
      <c r="A5" s="349" t="n">
        <v>1</v>
      </c>
      <c r="B5" s="350" t="s">
        <v>189</v>
      </c>
      <c r="C5" s="351" t="s">
        <v>455</v>
      </c>
      <c r="D5" s="351"/>
    </row>
    <row r="6" s="19" customFormat="true" ht="12.75" hidden="false" customHeight="false" outlineLevel="0" collapsed="false">
      <c r="A6" s="349" t="n">
        <v>2</v>
      </c>
      <c r="B6" s="350" t="s">
        <v>191</v>
      </c>
      <c r="C6" s="352" t="s">
        <v>24</v>
      </c>
      <c r="D6" s="352"/>
    </row>
    <row r="7" s="19" customFormat="true" ht="12.75" hidden="false" customHeight="false" outlineLevel="0" collapsed="false">
      <c r="A7" s="349" t="n">
        <v>3</v>
      </c>
      <c r="B7" s="350" t="s">
        <v>192</v>
      </c>
      <c r="C7" s="210"/>
      <c r="D7" s="210"/>
    </row>
    <row r="8" s="19" customFormat="true" ht="43.5" hidden="false" customHeight="true" outlineLevel="0" collapsed="false">
      <c r="A8" s="349" t="n">
        <v>4</v>
      </c>
      <c r="B8" s="350" t="s">
        <v>193</v>
      </c>
      <c r="C8" s="353" t="s">
        <v>194</v>
      </c>
      <c r="D8" s="353"/>
    </row>
    <row r="9" s="19" customFormat="true" ht="12.75" hidden="false" customHeight="false" outlineLevel="0" collapsed="false">
      <c r="A9" s="349" t="n">
        <v>5</v>
      </c>
      <c r="B9" s="350" t="s">
        <v>195</v>
      </c>
      <c r="C9" s="354" t="n">
        <v>42795</v>
      </c>
      <c r="D9" s="354"/>
    </row>
    <row r="10" customFormat="false" ht="12.75" hidden="false" customHeight="false" outlineLevel="0" collapsed="false">
      <c r="D10" s="213"/>
    </row>
    <row r="11" customFormat="false" ht="12.75" hidden="false" customHeight="false" outlineLevel="0" collapsed="false">
      <c r="A11" s="254" t="s">
        <v>196</v>
      </c>
      <c r="B11" s="254"/>
      <c r="C11" s="254"/>
      <c r="D11" s="254"/>
    </row>
    <row r="12" customFormat="false" ht="12.75" hidden="false" customHeight="false" outlineLevel="0" collapsed="false">
      <c r="A12" s="215" t="n">
        <v>1</v>
      </c>
      <c r="B12" s="355" t="s">
        <v>197</v>
      </c>
      <c r="C12" s="17" t="s">
        <v>198</v>
      </c>
      <c r="D12" s="217" t="s">
        <v>199</v>
      </c>
    </row>
    <row r="13" customFormat="false" ht="12.75" hidden="false" customHeight="false" outlineLevel="0" collapsed="false">
      <c r="A13" s="10" t="s">
        <v>14</v>
      </c>
      <c r="B13" s="10" t="s">
        <v>200</v>
      </c>
      <c r="C13" s="10"/>
      <c r="D13" s="29" t="n">
        <f aca="false">+C7</f>
        <v>0</v>
      </c>
    </row>
    <row r="14" customFormat="false" ht="12.75" hidden="false" customHeight="false" outlineLevel="0" collapsed="false">
      <c r="A14" s="10" t="s">
        <v>16</v>
      </c>
      <c r="B14" s="218" t="s">
        <v>201</v>
      </c>
      <c r="C14" s="219" t="n">
        <v>0.3</v>
      </c>
      <c r="D14" s="29" t="n">
        <f aca="false">+(D13+D23)*C14</f>
        <v>0</v>
      </c>
      <c r="E14" s="103"/>
    </row>
    <row r="15" customFormat="false" ht="12.75" hidden="false" customHeight="false" outlineLevel="0" collapsed="false">
      <c r="A15" s="10" t="s">
        <v>19</v>
      </c>
      <c r="B15" s="218" t="s">
        <v>202</v>
      </c>
      <c r="C15" s="219"/>
      <c r="D15" s="29"/>
    </row>
    <row r="16" customFormat="false" ht="12.75" hidden="false" customHeight="false" outlineLevel="0" collapsed="false">
      <c r="A16" s="10" t="s">
        <v>21</v>
      </c>
      <c r="B16" s="10" t="s">
        <v>203</v>
      </c>
      <c r="C16" s="10"/>
      <c r="D16" s="29"/>
    </row>
    <row r="17" customFormat="false" ht="12.75" hidden="false" customHeight="false" outlineLevel="0" collapsed="false">
      <c r="A17" s="10" t="s">
        <v>204</v>
      </c>
      <c r="B17" s="10" t="s">
        <v>205</v>
      </c>
      <c r="C17" s="10"/>
      <c r="D17" s="29"/>
    </row>
    <row r="18" customFormat="false" ht="12.75" hidden="false" customHeight="false" outlineLevel="0" collapsed="false">
      <c r="A18" s="10" t="s">
        <v>206</v>
      </c>
      <c r="B18" s="10" t="s">
        <v>207</v>
      </c>
      <c r="C18" s="10"/>
      <c r="D18" s="29"/>
    </row>
    <row r="19" customFormat="false" ht="12.75" hidden="false" customHeight="false" outlineLevel="0" collapsed="false">
      <c r="A19" s="10" t="s">
        <v>208</v>
      </c>
      <c r="B19" s="10" t="s">
        <v>209</v>
      </c>
      <c r="C19" s="10"/>
      <c r="D19" s="29"/>
    </row>
    <row r="20" customFormat="false" ht="12.75" hidden="false" customHeight="false" outlineLevel="0" collapsed="false">
      <c r="A20" s="10" t="s">
        <v>210</v>
      </c>
      <c r="B20" s="10" t="s">
        <v>211</v>
      </c>
      <c r="C20" s="10"/>
      <c r="D20" s="29"/>
    </row>
    <row r="21" customFormat="false" ht="12.75" hidden="false" customHeight="false" outlineLevel="0" collapsed="false">
      <c r="A21" s="10" t="s">
        <v>212</v>
      </c>
      <c r="B21" s="218" t="s">
        <v>213</v>
      </c>
      <c r="C21" s="219"/>
      <c r="D21" s="29"/>
    </row>
    <row r="22" customFormat="false" ht="12.75" hidden="false" customHeight="false" outlineLevel="0" collapsed="false">
      <c r="A22" s="10" t="s">
        <v>214</v>
      </c>
      <c r="B22" s="10" t="s">
        <v>215</v>
      </c>
      <c r="C22" s="10"/>
      <c r="D22" s="78"/>
      <c r="F22" s="220"/>
    </row>
    <row r="23" customFormat="false" ht="12.75" hidden="false" customHeight="false" outlineLevel="0" collapsed="false">
      <c r="A23" s="10" t="s">
        <v>216</v>
      </c>
      <c r="B23" s="10" t="s">
        <v>442</v>
      </c>
      <c r="C23" s="10"/>
      <c r="D23" s="78"/>
      <c r="F23" s="220"/>
    </row>
    <row r="24" customFormat="false" ht="12.75" hidden="false" customHeight="false" outlineLevel="0" collapsed="false">
      <c r="A24" s="10" t="s">
        <v>443</v>
      </c>
      <c r="B24" s="10" t="s">
        <v>217</v>
      </c>
      <c r="C24" s="10"/>
      <c r="D24" s="78"/>
    </row>
    <row r="25" customFormat="false" ht="12.75" hidden="false" customHeight="false" outlineLevel="0" collapsed="false">
      <c r="A25" s="205" t="s">
        <v>218</v>
      </c>
      <c r="B25" s="205"/>
      <c r="C25" s="205"/>
      <c r="D25" s="27" t="n">
        <f aca="false">SUM(D13:D24)</f>
        <v>0</v>
      </c>
    </row>
    <row r="27" customFormat="false" ht="12.75" hidden="false" customHeight="false" outlineLevel="0" collapsed="false">
      <c r="A27" s="214" t="s">
        <v>219</v>
      </c>
      <c r="B27" s="214"/>
      <c r="C27" s="214"/>
      <c r="D27" s="214"/>
    </row>
    <row r="29" customFormat="false" ht="12.75" hidden="false" customHeight="false" outlineLevel="0" collapsed="false">
      <c r="A29" s="254" t="s">
        <v>220</v>
      </c>
      <c r="B29" s="254"/>
      <c r="C29" s="254"/>
      <c r="D29" s="254"/>
    </row>
    <row r="30" customFormat="false" ht="12.75" hidden="false" customHeight="false" outlineLevel="0" collapsed="false">
      <c r="A30" s="25" t="s">
        <v>221</v>
      </c>
      <c r="B30" s="222" t="s">
        <v>222</v>
      </c>
      <c r="C30" s="17" t="s">
        <v>198</v>
      </c>
      <c r="D30" s="17" t="s">
        <v>199</v>
      </c>
    </row>
    <row r="31" customFormat="false" ht="12.75" hidden="false" customHeight="false" outlineLevel="0" collapsed="false">
      <c r="A31" s="10" t="s">
        <v>14</v>
      </c>
      <c r="B31" s="128" t="s">
        <v>223</v>
      </c>
      <c r="C31" s="225" t="e">
        <f aca="false">ROUND(+D31/$D$25,4)</f>
        <v>#DIV/0!</v>
      </c>
      <c r="D31" s="78" t="n">
        <f aca="false">ROUND(+D25/12,2)</f>
        <v>0</v>
      </c>
    </row>
    <row r="32" customFormat="false" ht="12.75" hidden="false" customHeight="false" outlineLevel="0" collapsed="false">
      <c r="A32" s="226" t="s">
        <v>16</v>
      </c>
      <c r="B32" s="227" t="s">
        <v>224</v>
      </c>
      <c r="C32" s="228" t="e">
        <f aca="false">ROUND(+D32/$D$25,4)</f>
        <v>#DIV/0!</v>
      </c>
      <c r="D32" s="229" t="n">
        <f aca="false">+D33+D34</f>
        <v>0</v>
      </c>
    </row>
    <row r="33" customFormat="false" ht="12.75" hidden="false" customHeight="false" outlineLevel="0" collapsed="false">
      <c r="A33" s="10" t="s">
        <v>225</v>
      </c>
      <c r="B33" s="230" t="s">
        <v>226</v>
      </c>
      <c r="C33" s="231" t="e">
        <f aca="false">ROUND(+D33/$D$25,4)</f>
        <v>#DIV/0!</v>
      </c>
      <c r="D33" s="232" t="n">
        <f aca="false">ROUND(+D25/12,2)</f>
        <v>0</v>
      </c>
    </row>
    <row r="34" customFormat="false" ht="12.75" hidden="false" customHeight="false" outlineLevel="0" collapsed="false">
      <c r="A34" s="10" t="s">
        <v>227</v>
      </c>
      <c r="B34" s="230" t="s">
        <v>228</v>
      </c>
      <c r="C34" s="231" t="e">
        <f aca="false">ROUND(+D34/$D$25,4)</f>
        <v>#DIV/0!</v>
      </c>
      <c r="D34" s="232" t="n">
        <f aca="false">ROUND(+(D25*1/3)/12,2)</f>
        <v>0</v>
      </c>
    </row>
    <row r="35" customFormat="false" ht="12.75" hidden="false" customHeight="false" outlineLevel="0" collapsed="false">
      <c r="A35" s="205" t="s">
        <v>218</v>
      </c>
      <c r="B35" s="205"/>
      <c r="C35" s="205"/>
      <c r="D35" s="27" t="n">
        <f aca="false">+D32+D31</f>
        <v>0</v>
      </c>
    </row>
    <row r="37" customFormat="false" ht="12.75" hidden="false" customHeight="true" outlineLevel="0" collapsed="false">
      <c r="A37" s="262" t="s">
        <v>229</v>
      </c>
      <c r="B37" s="262"/>
      <c r="C37" s="262"/>
      <c r="D37" s="262"/>
    </row>
    <row r="38" customFormat="false" ht="12.75" hidden="false" customHeight="false" outlineLevel="0" collapsed="false">
      <c r="A38" s="25" t="s">
        <v>230</v>
      </c>
      <c r="B38" s="222" t="s">
        <v>231</v>
      </c>
      <c r="C38" s="17" t="s">
        <v>198</v>
      </c>
      <c r="D38" s="17" t="s">
        <v>199</v>
      </c>
    </row>
    <row r="39" customFormat="false" ht="12.75" hidden="false" customHeight="false" outlineLevel="0" collapsed="false">
      <c r="A39" s="10" t="s">
        <v>14</v>
      </c>
      <c r="B39" s="128" t="s">
        <v>232</v>
      </c>
      <c r="C39" s="225" t="n">
        <v>0.2</v>
      </c>
      <c r="D39" s="129" t="n">
        <f aca="false">ROUND(C39*($D$25+$D$35),2)</f>
        <v>0</v>
      </c>
    </row>
    <row r="40" customFormat="false" ht="12.75" hidden="false" customHeight="false" outlineLevel="0" collapsed="false">
      <c r="A40" s="10" t="s">
        <v>16</v>
      </c>
      <c r="B40" s="128" t="s">
        <v>233</v>
      </c>
      <c r="C40" s="225" t="n">
        <v>0.025</v>
      </c>
      <c r="D40" s="129" t="n">
        <f aca="false">ROUND(C40*($D$25+$D$35),2)</f>
        <v>0</v>
      </c>
    </row>
    <row r="41" customFormat="false" ht="12.75" hidden="false" customHeight="false" outlineLevel="0" collapsed="false">
      <c r="A41" s="10" t="s">
        <v>19</v>
      </c>
      <c r="B41" s="128" t="s">
        <v>234</v>
      </c>
      <c r="C41" s="225" t="n">
        <f aca="false">3%</f>
        <v>0.03</v>
      </c>
      <c r="D41" s="129" t="n">
        <f aca="false">ROUND(C41*($D$25+$D$35),2)</f>
        <v>0</v>
      </c>
    </row>
    <row r="42" customFormat="false" ht="12.75" hidden="false" customHeight="false" outlineLevel="0" collapsed="false">
      <c r="A42" s="10" t="s">
        <v>21</v>
      </c>
      <c r="B42" s="128" t="s">
        <v>235</v>
      </c>
      <c r="C42" s="225" t="n">
        <v>0.015</v>
      </c>
      <c r="D42" s="129" t="n">
        <f aca="false">ROUND(C42*($D$25+$D$35),2)</f>
        <v>0</v>
      </c>
    </row>
    <row r="43" customFormat="false" ht="12.75" hidden="false" customHeight="false" outlineLevel="0" collapsed="false">
      <c r="A43" s="10" t="s">
        <v>204</v>
      </c>
      <c r="B43" s="128" t="s">
        <v>236</v>
      </c>
      <c r="C43" s="225" t="n">
        <v>0.01</v>
      </c>
      <c r="D43" s="129" t="n">
        <f aca="false">ROUND(C43*($D$25+$D$35),2)</f>
        <v>0</v>
      </c>
    </row>
    <row r="44" customFormat="false" ht="12.75" hidden="false" customHeight="false" outlineLevel="0" collapsed="false">
      <c r="A44" s="10" t="s">
        <v>206</v>
      </c>
      <c r="B44" s="128" t="s">
        <v>237</v>
      </c>
      <c r="C44" s="225" t="n">
        <v>0.006</v>
      </c>
      <c r="D44" s="129" t="n">
        <f aca="false">ROUND(C44*($D$25+$D$35),2)</f>
        <v>0</v>
      </c>
    </row>
    <row r="45" customFormat="false" ht="12.75" hidden="false" customHeight="false" outlineLevel="0" collapsed="false">
      <c r="A45" s="10" t="s">
        <v>208</v>
      </c>
      <c r="B45" s="128" t="s">
        <v>238</v>
      </c>
      <c r="C45" s="225" t="n">
        <v>0.002</v>
      </c>
      <c r="D45" s="129" t="n">
        <f aca="false">ROUND(C45*($D$25+$D$35),2)</f>
        <v>0</v>
      </c>
    </row>
    <row r="46" customFormat="false" ht="12.75" hidden="false" customHeight="false" outlineLevel="0" collapsed="false">
      <c r="A46" s="10" t="s">
        <v>210</v>
      </c>
      <c r="B46" s="128" t="s">
        <v>239</v>
      </c>
      <c r="C46" s="225" t="n">
        <v>0.08</v>
      </c>
      <c r="D46" s="129" t="n">
        <f aca="false">ROUND(C46*($D$25+$D$35),2)</f>
        <v>0</v>
      </c>
    </row>
    <row r="47" customFormat="false" ht="12.75" hidden="false" customHeight="false" outlineLevel="0" collapsed="false">
      <c r="A47" s="235" t="s">
        <v>218</v>
      </c>
      <c r="B47" s="236"/>
      <c r="C47" s="237" t="n">
        <f aca="false">SUM(C39:C46)</f>
        <v>0.368</v>
      </c>
      <c r="D47" s="238" t="n">
        <f aca="false">SUM(D39:D46)</f>
        <v>0</v>
      </c>
    </row>
    <row r="48" customFormat="false" ht="12.75" hidden="false" customHeight="false" outlineLevel="0" collapsed="false">
      <c r="A48" s="239"/>
      <c r="B48" s="239"/>
      <c r="C48" s="239"/>
      <c r="D48" s="239"/>
    </row>
    <row r="49" customFormat="false" ht="12.75" hidden="false" customHeight="true" outlineLevel="0" collapsed="false">
      <c r="A49" s="262" t="s">
        <v>240</v>
      </c>
      <c r="B49" s="262"/>
      <c r="C49" s="262"/>
      <c r="D49" s="262"/>
    </row>
    <row r="50" customFormat="false" ht="12.75" hidden="false" customHeight="false" outlineLevel="0" collapsed="false">
      <c r="A50" s="25" t="s">
        <v>241</v>
      </c>
      <c r="B50" s="222" t="s">
        <v>242</v>
      </c>
      <c r="C50" s="17"/>
      <c r="D50" s="17" t="s">
        <v>199</v>
      </c>
    </row>
    <row r="51" customFormat="false" ht="12.75" hidden="false" customHeight="false" outlineLevel="0" collapsed="false">
      <c r="A51" s="240" t="s">
        <v>14</v>
      </c>
      <c r="B51" s="128" t="s">
        <v>243</v>
      </c>
      <c r="C51" s="241"/>
      <c r="D51" s="129" t="n">
        <f aca="false">+'Calculo 44h Arm'!C121</f>
        <v>0</v>
      </c>
    </row>
    <row r="52" s="34" customFormat="true" ht="12.75" hidden="false" customHeight="false" outlineLevel="0" collapsed="false">
      <c r="A52" s="242" t="s">
        <v>244</v>
      </c>
      <c r="B52" s="110" t="s">
        <v>245</v>
      </c>
      <c r="C52" s="225" t="n">
        <f aca="false">+$C$137+$C$138</f>
        <v>0.0365</v>
      </c>
      <c r="D52" s="243" t="n">
        <f aca="false">+(C52*D51)*-1</f>
        <v>0</v>
      </c>
      <c r="F52" s="116"/>
    </row>
    <row r="53" customFormat="false" ht="12.75" hidden="false" customHeight="false" outlineLevel="0" collapsed="false">
      <c r="A53" s="240" t="s">
        <v>16</v>
      </c>
      <c r="B53" s="128" t="s">
        <v>246</v>
      </c>
      <c r="C53" s="241"/>
      <c r="D53" s="129" t="n">
        <f aca="false">+'Calculo 44h Arm'!C130</f>
        <v>0</v>
      </c>
      <c r="F53" s="244"/>
    </row>
    <row r="54" s="34" customFormat="true" ht="12.75" hidden="false" customHeight="false" outlineLevel="0" collapsed="false">
      <c r="A54" s="242" t="s">
        <v>225</v>
      </c>
      <c r="B54" s="110" t="s">
        <v>245</v>
      </c>
      <c r="C54" s="225" t="n">
        <f aca="false">+$C$137+$C$138</f>
        <v>0.0365</v>
      </c>
      <c r="D54" s="243" t="n">
        <f aca="false">+(C54*D53)*-1</f>
        <v>0</v>
      </c>
      <c r="F54" s="245"/>
    </row>
    <row r="55" customFormat="false" ht="12.75" hidden="false" customHeight="false" outlineLevel="0" collapsed="false">
      <c r="A55" s="128" t="s">
        <v>19</v>
      </c>
      <c r="B55" s="128" t="s">
        <v>247</v>
      </c>
      <c r="C55" s="241"/>
      <c r="D55" s="129"/>
      <c r="F55" s="244"/>
    </row>
    <row r="56" customFormat="false" ht="12.75" hidden="false" customHeight="false" outlineLevel="0" collapsed="false">
      <c r="A56" s="242" t="s">
        <v>248</v>
      </c>
      <c r="B56" s="110" t="s">
        <v>245</v>
      </c>
      <c r="C56" s="225" t="n">
        <f aca="false">+$C$137+$C$138</f>
        <v>0.0365</v>
      </c>
      <c r="D56" s="243" t="n">
        <f aca="false">+(C56*D55)*-1</f>
        <v>0</v>
      </c>
      <c r="F56" s="244"/>
    </row>
    <row r="57" customFormat="false" ht="12.75" hidden="false" customHeight="false" outlineLevel="0" collapsed="false">
      <c r="A57" s="246" t="s">
        <v>21</v>
      </c>
      <c r="B57" s="246" t="s">
        <v>249</v>
      </c>
      <c r="C57" s="241"/>
      <c r="D57" s="247"/>
      <c r="F57" s="244"/>
    </row>
    <row r="58" customFormat="false" ht="12.75" hidden="false" customHeight="false" outlineLevel="0" collapsed="false">
      <c r="A58" s="242" t="s">
        <v>250</v>
      </c>
      <c r="B58" s="110" t="s">
        <v>245</v>
      </c>
      <c r="C58" s="225" t="n">
        <f aca="false">+$C$137+$C$138</f>
        <v>0.0365</v>
      </c>
      <c r="D58" s="243" t="n">
        <f aca="false">+(C58*D57)*-1</f>
        <v>0</v>
      </c>
      <c r="F58" s="244"/>
    </row>
    <row r="59" customFormat="false" ht="12.75" hidden="false" customHeight="false" outlineLevel="0" collapsed="false">
      <c r="A59" s="246" t="s">
        <v>204</v>
      </c>
      <c r="B59" s="246" t="s">
        <v>251</v>
      </c>
      <c r="C59" s="241"/>
      <c r="D59" s="248"/>
      <c r="F59" s="249"/>
    </row>
    <row r="60" customFormat="false" ht="12.75" hidden="false" customHeight="false" outlineLevel="0" collapsed="false">
      <c r="A60" s="242" t="s">
        <v>252</v>
      </c>
      <c r="B60" s="110" t="s">
        <v>245</v>
      </c>
      <c r="C60" s="225" t="n">
        <f aca="false">+$C$137+$C$138</f>
        <v>0.0365</v>
      </c>
      <c r="D60" s="243" t="n">
        <f aca="false">+(C60*D59)*-1</f>
        <v>0</v>
      </c>
    </row>
    <row r="61" customFormat="false" ht="12.75" hidden="false" customHeight="false" outlineLevel="0" collapsed="false">
      <c r="A61" s="246" t="s">
        <v>206</v>
      </c>
      <c r="B61" s="250" t="s">
        <v>253</v>
      </c>
      <c r="C61" s="250"/>
      <c r="D61" s="247"/>
    </row>
    <row r="62" customFormat="false" ht="12.75" hidden="false" customHeight="false" outlineLevel="0" collapsed="false">
      <c r="A62" s="256" t="s">
        <v>254</v>
      </c>
      <c r="B62" s="110" t="s">
        <v>245</v>
      </c>
      <c r="C62" s="225" t="n">
        <f aca="false">+$C$137+$C$138</f>
        <v>0.0365</v>
      </c>
      <c r="D62" s="243" t="n">
        <f aca="false">+(C62*D61)*-1</f>
        <v>0</v>
      </c>
    </row>
    <row r="63" customFormat="false" ht="12.75" hidden="false" customHeight="false" outlineLevel="0" collapsed="false">
      <c r="A63" s="205" t="s">
        <v>218</v>
      </c>
      <c r="B63" s="205"/>
      <c r="C63" s="251"/>
      <c r="D63" s="252" t="n">
        <f aca="false">SUM(D51:D62)</f>
        <v>0</v>
      </c>
    </row>
    <row r="65" customFormat="false" ht="12.75" hidden="false" customHeight="false" outlineLevel="0" collapsed="false">
      <c r="A65" s="254" t="s">
        <v>255</v>
      </c>
      <c r="B65" s="254"/>
      <c r="C65" s="254"/>
      <c r="D65" s="254"/>
    </row>
    <row r="66" customFormat="false" ht="12.75" hidden="false" customHeight="false" outlineLevel="0" collapsed="false">
      <c r="A66" s="253" t="n">
        <v>2</v>
      </c>
      <c r="B66" s="254" t="s">
        <v>256</v>
      </c>
      <c r="C66" s="254"/>
      <c r="D66" s="255" t="s">
        <v>199</v>
      </c>
    </row>
    <row r="67" customFormat="false" ht="12.75" hidden="false" customHeight="false" outlineLevel="0" collapsed="false">
      <c r="A67" s="76" t="s">
        <v>221</v>
      </c>
      <c r="B67" s="256" t="s">
        <v>222</v>
      </c>
      <c r="C67" s="256"/>
      <c r="D67" s="129" t="n">
        <f aca="false">+D35</f>
        <v>0</v>
      </c>
    </row>
    <row r="68" customFormat="false" ht="12.75" hidden="false" customHeight="false" outlineLevel="0" collapsed="false">
      <c r="A68" s="76" t="s">
        <v>230</v>
      </c>
      <c r="B68" s="256" t="s">
        <v>231</v>
      </c>
      <c r="C68" s="256"/>
      <c r="D68" s="129" t="n">
        <f aca="false">+D47</f>
        <v>0</v>
      </c>
    </row>
    <row r="69" customFormat="false" ht="12.75" hidden="false" customHeight="false" outlineLevel="0" collapsed="false">
      <c r="A69" s="76" t="s">
        <v>241</v>
      </c>
      <c r="B69" s="256" t="s">
        <v>242</v>
      </c>
      <c r="C69" s="256"/>
      <c r="D69" s="257" t="n">
        <f aca="false">+D63</f>
        <v>0</v>
      </c>
    </row>
    <row r="70" customFormat="false" ht="12.75" hidden="false" customHeight="false" outlineLevel="0" collapsed="false">
      <c r="A70" s="254" t="s">
        <v>218</v>
      </c>
      <c r="B70" s="254"/>
      <c r="C70" s="254"/>
      <c r="D70" s="258" t="n">
        <f aca="false">SUM(D67:D69)</f>
        <v>0</v>
      </c>
    </row>
    <row r="72" customFormat="false" ht="12.75" hidden="false" customHeight="false" outlineLevel="0" collapsed="false">
      <c r="A72" s="254" t="s">
        <v>257</v>
      </c>
      <c r="B72" s="254"/>
      <c r="C72" s="254"/>
      <c r="D72" s="254"/>
    </row>
    <row r="74" customFormat="false" ht="12.75" hidden="false" customHeight="false" outlineLevel="0" collapsed="false">
      <c r="A74" s="25" t="n">
        <v>3</v>
      </c>
      <c r="B74" s="222" t="s">
        <v>258</v>
      </c>
      <c r="C74" s="17" t="s">
        <v>198</v>
      </c>
      <c r="D74" s="17" t="s">
        <v>199</v>
      </c>
    </row>
    <row r="75" customFormat="false" ht="12.75" hidden="false" customHeight="false" outlineLevel="0" collapsed="false">
      <c r="A75" s="10" t="s">
        <v>14</v>
      </c>
      <c r="B75" s="110" t="s">
        <v>259</v>
      </c>
      <c r="C75" s="225" t="e">
        <f aca="false">+D75/$D$25</f>
        <v>#DIV/0!</v>
      </c>
      <c r="D75" s="259" t="n">
        <f aca="false">+'Calculo 44h Arm'!C136</f>
        <v>0</v>
      </c>
    </row>
    <row r="76" customFormat="false" ht="12.75" hidden="false" customHeight="false" outlineLevel="0" collapsed="false">
      <c r="A76" s="10" t="s">
        <v>16</v>
      </c>
      <c r="B76" s="128" t="s">
        <v>260</v>
      </c>
      <c r="C76" s="260"/>
      <c r="D76" s="78" t="n">
        <f aca="false">ROUND(+D75*$C$46,2)</f>
        <v>0</v>
      </c>
    </row>
    <row r="77" customFormat="false" ht="25.5" hidden="false" customHeight="false" outlineLevel="0" collapsed="false">
      <c r="A77" s="10" t="s">
        <v>19</v>
      </c>
      <c r="B77" s="261" t="s">
        <v>261</v>
      </c>
      <c r="C77" s="225" t="e">
        <f aca="false">+D77/$D$25</f>
        <v>#DIV/0!</v>
      </c>
      <c r="D77" s="78" t="n">
        <f aca="false">+'Calculo 44h Arm'!C147</f>
        <v>0</v>
      </c>
    </row>
    <row r="78" customFormat="false" ht="12.75" hidden="false" customHeight="false" outlineLevel="0" collapsed="false">
      <c r="A78" s="256" t="s">
        <v>21</v>
      </c>
      <c r="B78" s="128" t="s">
        <v>262</v>
      </c>
      <c r="C78" s="225" t="e">
        <f aca="false">+D78/$D$25</f>
        <v>#DIV/0!</v>
      </c>
      <c r="D78" s="78" t="n">
        <f aca="false">+'Calculo 44h Arm'!C158</f>
        <v>0</v>
      </c>
    </row>
    <row r="79" customFormat="false" ht="25.5" hidden="false" customHeight="false" outlineLevel="0" collapsed="false">
      <c r="A79" s="256" t="s">
        <v>204</v>
      </c>
      <c r="B79" s="261" t="s">
        <v>263</v>
      </c>
      <c r="C79" s="260"/>
      <c r="D79" s="78" t="n">
        <f aca="false">+D78*C47</f>
        <v>0</v>
      </c>
    </row>
    <row r="80" customFormat="false" ht="25.5" hidden="false" customHeight="false" outlineLevel="0" collapsed="false">
      <c r="A80" s="256" t="s">
        <v>206</v>
      </c>
      <c r="B80" s="261" t="s">
        <v>264</v>
      </c>
      <c r="C80" s="225" t="e">
        <f aca="false">+D80/$D$25</f>
        <v>#DIV/0!</v>
      </c>
      <c r="D80" s="129" t="n">
        <f aca="false">+'Calculo 44h Arm'!C149</f>
        <v>0</v>
      </c>
    </row>
    <row r="81" customFormat="false" ht="12.75" hidden="false" customHeight="false" outlineLevel="0" collapsed="false">
      <c r="A81" s="205" t="s">
        <v>218</v>
      </c>
      <c r="B81" s="205"/>
      <c r="C81" s="205"/>
      <c r="D81" s="26" t="n">
        <f aca="false">SUM(D75:D80)</f>
        <v>0</v>
      </c>
    </row>
    <row r="83" customFormat="false" ht="12.75" hidden="false" customHeight="false" outlineLevel="0" collapsed="false">
      <c r="A83" s="254" t="s">
        <v>265</v>
      </c>
      <c r="B83" s="254"/>
      <c r="C83" s="254"/>
      <c r="D83" s="254"/>
    </row>
    <row r="85" customFormat="false" ht="12.75" hidden="false" customHeight="true" outlineLevel="0" collapsed="false">
      <c r="A85" s="262" t="s">
        <v>266</v>
      </c>
      <c r="B85" s="262"/>
      <c r="C85" s="262"/>
      <c r="D85" s="262"/>
    </row>
    <row r="86" customFormat="false" ht="12.75" hidden="false" customHeight="false" outlineLevel="0" collapsed="false">
      <c r="A86" s="25" t="s">
        <v>267</v>
      </c>
      <c r="B86" s="205" t="s">
        <v>268</v>
      </c>
      <c r="C86" s="205"/>
      <c r="D86" s="17" t="s">
        <v>199</v>
      </c>
    </row>
    <row r="87" customFormat="false" ht="12.75" hidden="false" customHeight="false" outlineLevel="0" collapsed="false">
      <c r="A87" s="128" t="s">
        <v>14</v>
      </c>
      <c r="B87" s="263" t="s">
        <v>269</v>
      </c>
      <c r="C87" s="263"/>
      <c r="D87" s="78"/>
    </row>
    <row r="88" customFormat="false" ht="12.75" hidden="false" customHeight="false" outlineLevel="0" collapsed="false">
      <c r="A88" s="110" t="s">
        <v>16</v>
      </c>
      <c r="B88" s="264" t="s">
        <v>268</v>
      </c>
      <c r="C88" s="264"/>
      <c r="D88" s="78" t="n">
        <f aca="false">+'Calculo 44h Arm'!C185</f>
        <v>0</v>
      </c>
    </row>
    <row r="89" s="34" customFormat="true" ht="12.75" hidden="false" customHeight="false" outlineLevel="0" collapsed="false">
      <c r="A89" s="110" t="s">
        <v>19</v>
      </c>
      <c r="B89" s="264" t="s">
        <v>270</v>
      </c>
      <c r="C89" s="264"/>
      <c r="D89" s="78" t="n">
        <f aca="false">+'Calculo 44h Arm'!C194</f>
        <v>0</v>
      </c>
    </row>
    <row r="90" s="34" customFormat="true" ht="12.75" hidden="false" customHeight="false" outlineLevel="0" collapsed="false">
      <c r="A90" s="110" t="s">
        <v>21</v>
      </c>
      <c r="B90" s="264" t="s">
        <v>271</v>
      </c>
      <c r="C90" s="264"/>
      <c r="D90" s="78" t="n">
        <f aca="false">+'Calculo 44h Arm'!C202</f>
        <v>0</v>
      </c>
    </row>
    <row r="91" s="34" customFormat="true" ht="13.5" hidden="false" customHeight="false" outlineLevel="0" collapsed="false">
      <c r="A91" s="110" t="s">
        <v>204</v>
      </c>
      <c r="B91" s="264" t="s">
        <v>272</v>
      </c>
      <c r="C91" s="264"/>
      <c r="D91" s="78"/>
    </row>
    <row r="92" s="34" customFormat="true" ht="12.75" hidden="false" customHeight="false" outlineLevel="0" collapsed="false">
      <c r="A92" s="110" t="s">
        <v>206</v>
      </c>
      <c r="B92" s="264" t="s">
        <v>273</v>
      </c>
      <c r="C92" s="264"/>
      <c r="D92" s="78" t="n">
        <f aca="false">+'Calculo 44h Arm'!C210</f>
        <v>0</v>
      </c>
    </row>
    <row r="93" customFormat="false" ht="12.75" hidden="false" customHeight="false" outlineLevel="0" collapsed="false">
      <c r="A93" s="128" t="s">
        <v>208</v>
      </c>
      <c r="B93" s="263" t="s">
        <v>217</v>
      </c>
      <c r="C93" s="263"/>
      <c r="D93" s="78"/>
    </row>
    <row r="94" customFormat="false" ht="12.75" hidden="false" customHeight="false" outlineLevel="0" collapsed="false">
      <c r="A94" s="128" t="s">
        <v>210</v>
      </c>
      <c r="B94" s="263" t="s">
        <v>274</v>
      </c>
      <c r="C94" s="263"/>
      <c r="D94" s="78" t="n">
        <f aca="false">ROUND((D88+D89+D90+D87+D91+D92+D93)*C47,2)</f>
        <v>0</v>
      </c>
    </row>
    <row r="95" customFormat="false" ht="12.75" hidden="false" customHeight="false" outlineLevel="0" collapsed="false">
      <c r="A95" s="205" t="s">
        <v>218</v>
      </c>
      <c r="B95" s="205"/>
      <c r="C95" s="205"/>
      <c r="D95" s="27" t="n">
        <f aca="false">SUM(D87:D94)</f>
        <v>0</v>
      </c>
    </row>
    <row r="96" customFormat="false" ht="12.75" hidden="false" customHeight="false" outlineLevel="0" collapsed="false">
      <c r="D96" s="245"/>
    </row>
    <row r="97" customFormat="false" ht="12.75" hidden="false" customHeight="false" outlineLevel="0" collapsed="false">
      <c r="A97" s="25" t="s">
        <v>275</v>
      </c>
      <c r="B97" s="205" t="s">
        <v>276</v>
      </c>
      <c r="C97" s="205"/>
      <c r="D97" s="17" t="s">
        <v>199</v>
      </c>
    </row>
    <row r="98" s="34" customFormat="true" ht="12.75" hidden="false" customHeight="false" outlineLevel="0" collapsed="false">
      <c r="A98" s="110" t="s">
        <v>14</v>
      </c>
      <c r="B98" s="256" t="s">
        <v>277</v>
      </c>
      <c r="C98" s="256"/>
      <c r="D98" s="78" t="n">
        <f aca="false">+'Calculo 44h Arm'!C234</f>
        <v>0</v>
      </c>
    </row>
    <row r="99" s="34" customFormat="true" ht="27" hidden="false" customHeight="true" outlineLevel="0" collapsed="false">
      <c r="A99" s="110" t="s">
        <v>16</v>
      </c>
      <c r="B99" s="265" t="s">
        <v>278</v>
      </c>
      <c r="C99" s="265"/>
      <c r="D99" s="78" t="n">
        <f aca="false">ROUND(D98*C47,2)</f>
        <v>0</v>
      </c>
    </row>
    <row r="100" s="34" customFormat="true" ht="30" hidden="false" customHeight="true" outlineLevel="0" collapsed="false">
      <c r="A100" s="110" t="s">
        <v>19</v>
      </c>
      <c r="B100" s="265" t="s">
        <v>279</v>
      </c>
      <c r="C100" s="265"/>
      <c r="D100" s="78" t="n">
        <f aca="false">+'Calculo 44h Arm'!C244</f>
        <v>0</v>
      </c>
    </row>
    <row r="101" customFormat="false" ht="12.75" hidden="false" customHeight="false" outlineLevel="0" collapsed="false">
      <c r="A101" s="128" t="s">
        <v>21</v>
      </c>
      <c r="B101" s="263" t="s">
        <v>217</v>
      </c>
      <c r="C101" s="263"/>
      <c r="D101" s="78"/>
    </row>
    <row r="102" customFormat="false" ht="12.75" hidden="false" customHeight="false" outlineLevel="0" collapsed="false">
      <c r="A102" s="205" t="s">
        <v>218</v>
      </c>
      <c r="B102" s="205"/>
      <c r="C102" s="205"/>
      <c r="D102" s="27" t="n">
        <f aca="false">SUM(D98:D101)</f>
        <v>0</v>
      </c>
    </row>
    <row r="103" customFormat="false" ht="12.75" hidden="false" customHeight="false" outlineLevel="0" collapsed="false">
      <c r="D103" s="245"/>
    </row>
    <row r="104" customFormat="false" ht="12.75" hidden="false" customHeight="false" outlineLevel="0" collapsed="false">
      <c r="A104" s="25" t="s">
        <v>280</v>
      </c>
      <c r="B104" s="205" t="s">
        <v>281</v>
      </c>
      <c r="C104" s="205"/>
      <c r="D104" s="17" t="s">
        <v>199</v>
      </c>
    </row>
    <row r="105" s="267" customFormat="true" ht="33" hidden="false" customHeight="true" outlineLevel="0" collapsed="false">
      <c r="A105" s="256" t="s">
        <v>14</v>
      </c>
      <c r="B105" s="265" t="s">
        <v>282</v>
      </c>
      <c r="C105" s="265"/>
      <c r="D105" s="266"/>
    </row>
    <row r="106" customFormat="false" ht="12.75" hidden="false" customHeight="false" outlineLevel="0" collapsed="false">
      <c r="A106" s="205" t="s">
        <v>218</v>
      </c>
      <c r="B106" s="205"/>
      <c r="C106" s="205"/>
      <c r="D106" s="27" t="n">
        <f aca="false">SUM(D105:D105)</f>
        <v>0</v>
      </c>
    </row>
    <row r="108" customFormat="false" ht="12.75" hidden="false" customHeight="false" outlineLevel="0" collapsed="false">
      <c r="A108" s="268" t="s">
        <v>283</v>
      </c>
      <c r="B108" s="268"/>
      <c r="C108" s="268"/>
      <c r="D108" s="268"/>
    </row>
    <row r="109" customFormat="false" ht="12.75" hidden="false" customHeight="false" outlineLevel="0" collapsed="false">
      <c r="A109" s="128" t="s">
        <v>267</v>
      </c>
      <c r="B109" s="263" t="s">
        <v>268</v>
      </c>
      <c r="C109" s="263"/>
      <c r="D109" s="129" t="n">
        <f aca="false">+D95</f>
        <v>0</v>
      </c>
    </row>
    <row r="110" customFormat="false" ht="12.75" hidden="false" customHeight="false" outlineLevel="0" collapsed="false">
      <c r="A110" s="128" t="s">
        <v>275</v>
      </c>
      <c r="B110" s="263" t="s">
        <v>276</v>
      </c>
      <c r="C110" s="263"/>
      <c r="D110" s="129" t="n">
        <f aca="false">+D102</f>
        <v>0</v>
      </c>
    </row>
    <row r="111" customFormat="false" ht="12.75" hidden="false" customHeight="false" outlineLevel="0" collapsed="false">
      <c r="A111" s="269"/>
      <c r="B111" s="270" t="s">
        <v>284</v>
      </c>
      <c r="C111" s="270"/>
      <c r="D111" s="271" t="n">
        <f aca="false">+D110+D109</f>
        <v>0</v>
      </c>
    </row>
    <row r="112" customFormat="false" ht="12.75" hidden="false" customHeight="false" outlineLevel="0" collapsed="false">
      <c r="A112" s="128" t="s">
        <v>280</v>
      </c>
      <c r="B112" s="263" t="s">
        <v>281</v>
      </c>
      <c r="C112" s="263"/>
      <c r="D112" s="129" t="n">
        <f aca="false">+D106</f>
        <v>0</v>
      </c>
    </row>
    <row r="113" customFormat="false" ht="12.75" hidden="false" customHeight="false" outlineLevel="0" collapsed="false">
      <c r="A113" s="268" t="s">
        <v>218</v>
      </c>
      <c r="B113" s="268"/>
      <c r="C113" s="268"/>
      <c r="D113" s="272" t="n">
        <f aca="false">+D112+D111</f>
        <v>0</v>
      </c>
    </row>
    <row r="115" customFormat="false" ht="12.75" hidden="false" customHeight="false" outlineLevel="0" collapsed="false">
      <c r="A115" s="254" t="s">
        <v>285</v>
      </c>
      <c r="B115" s="254"/>
      <c r="C115" s="254"/>
      <c r="D115" s="254"/>
    </row>
    <row r="117" customFormat="false" ht="12.75" hidden="false" customHeight="false" outlineLevel="0" collapsed="false">
      <c r="A117" s="25" t="n">
        <v>5</v>
      </c>
      <c r="B117" s="205" t="s">
        <v>286</v>
      </c>
      <c r="C117" s="205"/>
      <c r="D117" s="17" t="s">
        <v>199</v>
      </c>
    </row>
    <row r="118" customFormat="false" ht="12.75" hidden="false" customHeight="false" outlineLevel="0" collapsed="false">
      <c r="A118" s="128" t="s">
        <v>14</v>
      </c>
      <c r="B118" s="10" t="s">
        <v>287</v>
      </c>
      <c r="C118" s="10"/>
      <c r="D118" s="78" t="n">
        <f aca="false">+Uniforme!G83</f>
        <v>0</v>
      </c>
    </row>
    <row r="119" customFormat="false" ht="12.75" hidden="false" customHeight="false" outlineLevel="0" collapsed="false">
      <c r="A119" s="128" t="s">
        <v>244</v>
      </c>
      <c r="B119" s="110" t="s">
        <v>245</v>
      </c>
      <c r="C119" s="225" t="n">
        <f aca="false">+$C$137+$C$138</f>
        <v>0.0365</v>
      </c>
      <c r="D119" s="243" t="n">
        <f aca="false">+(C119*D118)*-1</f>
        <v>0</v>
      </c>
    </row>
    <row r="120" customFormat="false" ht="12.75" hidden="false" customHeight="false" outlineLevel="0" collapsed="false">
      <c r="A120" s="128" t="s">
        <v>16</v>
      </c>
      <c r="B120" s="10" t="s">
        <v>288</v>
      </c>
      <c r="C120" s="10"/>
      <c r="D120" s="78"/>
    </row>
    <row r="121" customFormat="false" ht="12.75" hidden="false" customHeight="false" outlineLevel="0" collapsed="false">
      <c r="A121" s="128" t="s">
        <v>225</v>
      </c>
      <c r="B121" s="110" t="s">
        <v>245</v>
      </c>
      <c r="C121" s="225" t="n">
        <f aca="false">+$C$137+$C$138</f>
        <v>0.0365</v>
      </c>
      <c r="D121" s="243" t="n">
        <f aca="false">+(C121*D120)*-1</f>
        <v>0</v>
      </c>
    </row>
    <row r="122" customFormat="false" ht="12.75" hidden="false" customHeight="false" outlineLevel="0" collapsed="false">
      <c r="A122" s="128" t="s">
        <v>19</v>
      </c>
      <c r="B122" s="10" t="s">
        <v>289</v>
      </c>
      <c r="C122" s="10"/>
      <c r="D122" s="78" t="n">
        <f aca="false">+Uniforme!F98</f>
        <v>0</v>
      </c>
    </row>
    <row r="123" customFormat="false" ht="12.75" hidden="false" customHeight="false" outlineLevel="0" collapsed="false">
      <c r="A123" s="128" t="s">
        <v>248</v>
      </c>
      <c r="B123" s="110" t="s">
        <v>245</v>
      </c>
      <c r="C123" s="225" t="n">
        <f aca="false">+$C$137+$C$138</f>
        <v>0.0365</v>
      </c>
      <c r="D123" s="243" t="n">
        <f aca="false">+(C123*D122)*-1</f>
        <v>0</v>
      </c>
    </row>
    <row r="124" customFormat="false" ht="12.75" hidden="false" customHeight="false" outlineLevel="0" collapsed="false">
      <c r="A124" s="128" t="s">
        <v>21</v>
      </c>
      <c r="B124" s="10" t="s">
        <v>217</v>
      </c>
      <c r="C124" s="10"/>
      <c r="D124" s="78"/>
    </row>
    <row r="125" customFormat="false" ht="12.75" hidden="false" customHeight="false" outlineLevel="0" collapsed="false">
      <c r="A125" s="128" t="s">
        <v>250</v>
      </c>
      <c r="B125" s="110" t="s">
        <v>245</v>
      </c>
      <c r="C125" s="225" t="n">
        <f aca="false">+$C$137+$C$138</f>
        <v>0.0365</v>
      </c>
      <c r="D125" s="243" t="n">
        <f aca="false">+(C125*D124)*-1</f>
        <v>0</v>
      </c>
    </row>
    <row r="126" customFormat="false" ht="12.75" hidden="false" customHeight="false" outlineLevel="0" collapsed="false">
      <c r="A126" s="205" t="s">
        <v>218</v>
      </c>
      <c r="B126" s="205"/>
      <c r="C126" s="205"/>
      <c r="D126" s="27" t="n">
        <f aca="false">SUM(D118:D124)</f>
        <v>0</v>
      </c>
    </row>
    <row r="128" customFormat="false" ht="12.75" hidden="false" customHeight="false" outlineLevel="0" collapsed="false">
      <c r="A128" s="254" t="s">
        <v>290</v>
      </c>
      <c r="B128" s="254"/>
      <c r="C128" s="254"/>
      <c r="D128" s="254"/>
    </row>
    <row r="130" customFormat="false" ht="12.75" hidden="false" customHeight="false" outlineLevel="0" collapsed="false">
      <c r="A130" s="25" t="n">
        <v>6</v>
      </c>
      <c r="B130" s="222" t="s">
        <v>291</v>
      </c>
      <c r="C130" s="273" t="s">
        <v>198</v>
      </c>
      <c r="D130" s="17" t="s">
        <v>199</v>
      </c>
    </row>
    <row r="131" customFormat="false" ht="12.75" hidden="false" customHeight="false" outlineLevel="0" collapsed="false">
      <c r="A131" s="246" t="s">
        <v>14</v>
      </c>
      <c r="B131" s="246" t="s">
        <v>292</v>
      </c>
      <c r="C131" s="274" t="n">
        <v>0.03</v>
      </c>
      <c r="D131" s="247" t="n">
        <f aca="false">($D$126+$D$113+$D$81+$D$70+$D$25)*C131</f>
        <v>0</v>
      </c>
    </row>
    <row r="132" customFormat="false" ht="12.75" hidden="false" customHeight="false" outlineLevel="0" collapsed="false">
      <c r="A132" s="246" t="s">
        <v>16</v>
      </c>
      <c r="B132" s="246" t="s">
        <v>293</v>
      </c>
      <c r="C132" s="274" t="n">
        <v>0.03</v>
      </c>
      <c r="D132" s="247" t="n">
        <f aca="false">($D$126+$D$113+$D$81+$D$70+$D$25+D131)*C132</f>
        <v>0</v>
      </c>
    </row>
    <row r="133" s="277" customFormat="true" ht="12.75" hidden="false" customHeight="false" outlineLevel="0" collapsed="false">
      <c r="A133" s="275" t="s">
        <v>294</v>
      </c>
      <c r="B133" s="275"/>
      <c r="C133" s="275"/>
      <c r="D133" s="276" t="n">
        <f aca="false">++D132+D131+D126+D113+D81+D70+D25</f>
        <v>0</v>
      </c>
    </row>
    <row r="134" s="277" customFormat="true" ht="12.75" hidden="false" customHeight="true" outlineLevel="0" collapsed="false">
      <c r="A134" s="278" t="s">
        <v>295</v>
      </c>
      <c r="B134" s="278"/>
      <c r="C134" s="278"/>
      <c r="D134" s="276" t="n">
        <f aca="false">ROUND(D133/(1-(C137+C138+C140+C142+C143)),2)</f>
        <v>0</v>
      </c>
    </row>
    <row r="135" customFormat="false" ht="12.75" hidden="false" customHeight="false" outlineLevel="0" collapsed="false">
      <c r="A135" s="128" t="s">
        <v>19</v>
      </c>
      <c r="B135" s="128" t="s">
        <v>296</v>
      </c>
      <c r="C135" s="225"/>
      <c r="D135" s="128"/>
    </row>
    <row r="136" customFormat="false" ht="12.75" hidden="false" customHeight="false" outlineLevel="0" collapsed="false">
      <c r="A136" s="128" t="s">
        <v>248</v>
      </c>
      <c r="B136" s="128" t="s">
        <v>297</v>
      </c>
      <c r="C136" s="225"/>
      <c r="D136" s="128"/>
    </row>
    <row r="137" customFormat="false" ht="12.75" hidden="false" customHeight="false" outlineLevel="0" collapsed="false">
      <c r="A137" s="246" t="s">
        <v>298</v>
      </c>
      <c r="B137" s="246" t="s">
        <v>299</v>
      </c>
      <c r="C137" s="274" t="n">
        <v>0.0065</v>
      </c>
      <c r="D137" s="247" t="n">
        <f aca="false">ROUND(C137*$D$134,2)</f>
        <v>0</v>
      </c>
    </row>
    <row r="138" customFormat="false" ht="12.75" hidden="false" customHeight="false" outlineLevel="0" collapsed="false">
      <c r="A138" s="246" t="s">
        <v>300</v>
      </c>
      <c r="B138" s="246" t="s">
        <v>301</v>
      </c>
      <c r="C138" s="274" t="n">
        <v>0.03</v>
      </c>
      <c r="D138" s="247" t="n">
        <f aca="false">ROUND(C138*$D$134,2)</f>
        <v>0</v>
      </c>
    </row>
    <row r="139" customFormat="false" ht="12.75" hidden="false" customHeight="false" outlineLevel="0" collapsed="false">
      <c r="A139" s="128" t="s">
        <v>302</v>
      </c>
      <c r="B139" s="128" t="s">
        <v>303</v>
      </c>
      <c r="C139" s="225"/>
      <c r="D139" s="129"/>
    </row>
    <row r="140" customFormat="false" ht="12.75" hidden="false" customHeight="false" outlineLevel="0" collapsed="false">
      <c r="A140" s="128" t="s">
        <v>304</v>
      </c>
      <c r="B140" s="128" t="s">
        <v>305</v>
      </c>
      <c r="C140" s="225"/>
      <c r="D140" s="128"/>
    </row>
    <row r="141" customFormat="false" ht="12.75" hidden="false" customHeight="false" outlineLevel="0" collapsed="false">
      <c r="A141" s="128" t="s">
        <v>306</v>
      </c>
      <c r="B141" s="128" t="s">
        <v>307</v>
      </c>
      <c r="C141" s="225"/>
      <c r="D141" s="128"/>
    </row>
    <row r="142" customFormat="false" ht="12.75" hidden="false" customHeight="false" outlineLevel="0" collapsed="false">
      <c r="A142" s="246" t="s">
        <v>308</v>
      </c>
      <c r="B142" s="246" t="s">
        <v>309</v>
      </c>
      <c r="C142" s="274" t="n">
        <v>0.05</v>
      </c>
      <c r="D142" s="247" t="n">
        <f aca="false">ROUND(C142*$D$134,2)</f>
        <v>0</v>
      </c>
    </row>
    <row r="143" customFormat="false" ht="12.75" hidden="false" customHeight="false" outlineLevel="0" collapsed="false">
      <c r="A143" s="128" t="s">
        <v>310</v>
      </c>
      <c r="B143" s="128" t="s">
        <v>311</v>
      </c>
      <c r="C143" s="225"/>
      <c r="D143" s="128"/>
    </row>
    <row r="144" customFormat="false" ht="12.75" hidden="false" customHeight="false" outlineLevel="0" collapsed="false">
      <c r="A144" s="235" t="s">
        <v>218</v>
      </c>
      <c r="B144" s="235"/>
      <c r="C144" s="279" t="n">
        <f aca="false">+C143+C142+C140+C138+C137+C132+C131</f>
        <v>0.1465</v>
      </c>
      <c r="D144" s="27" t="n">
        <f aca="false">+D142+D140+D138+D137+D132+D131</f>
        <v>0</v>
      </c>
    </row>
    <row r="146" customFormat="false" ht="12.75" hidden="false" customHeight="false" outlineLevel="0" collapsed="false">
      <c r="A146" s="339" t="s">
        <v>312</v>
      </c>
      <c r="B146" s="339"/>
      <c r="C146" s="339"/>
      <c r="D146" s="339"/>
    </row>
    <row r="147" customFormat="false" ht="12.75" hidden="false" customHeight="false" outlineLevel="0" collapsed="false">
      <c r="A147" s="128" t="s">
        <v>14</v>
      </c>
      <c r="B147" s="263" t="s">
        <v>313</v>
      </c>
      <c r="C147" s="263"/>
      <c r="D147" s="78" t="n">
        <f aca="false">+D25</f>
        <v>0</v>
      </c>
    </row>
    <row r="148" customFormat="false" ht="12.75" hidden="false" customHeight="false" outlineLevel="0" collapsed="false">
      <c r="A148" s="128" t="s">
        <v>314</v>
      </c>
      <c r="B148" s="263" t="s">
        <v>315</v>
      </c>
      <c r="C148" s="263"/>
      <c r="D148" s="78" t="n">
        <f aca="false">+D70</f>
        <v>0</v>
      </c>
    </row>
    <row r="149" customFormat="false" ht="12.75" hidden="false" customHeight="false" outlineLevel="0" collapsed="false">
      <c r="A149" s="128" t="s">
        <v>19</v>
      </c>
      <c r="B149" s="263" t="s">
        <v>316</v>
      </c>
      <c r="C149" s="263"/>
      <c r="D149" s="78" t="n">
        <f aca="false">+D81</f>
        <v>0</v>
      </c>
    </row>
    <row r="150" customFormat="false" ht="12.75" hidden="false" customHeight="false" outlineLevel="0" collapsed="false">
      <c r="A150" s="128" t="s">
        <v>21</v>
      </c>
      <c r="B150" s="263" t="s">
        <v>317</v>
      </c>
      <c r="C150" s="263"/>
      <c r="D150" s="78" t="n">
        <f aca="false">+D113</f>
        <v>0</v>
      </c>
    </row>
    <row r="151" customFormat="false" ht="12.75" hidden="false" customHeight="false" outlineLevel="0" collapsed="false">
      <c r="A151" s="128" t="s">
        <v>204</v>
      </c>
      <c r="B151" s="263" t="s">
        <v>318</v>
      </c>
      <c r="C151" s="263"/>
      <c r="D151" s="78" t="n">
        <f aca="false">+D126</f>
        <v>0</v>
      </c>
    </row>
    <row r="152" customFormat="false" ht="12.75" hidden="false" customHeight="false" outlineLevel="0" collapsed="false">
      <c r="B152" s="281" t="s">
        <v>319</v>
      </c>
      <c r="C152" s="281"/>
      <c r="D152" s="282" t="n">
        <f aca="false">SUM(D147:D151)</f>
        <v>0</v>
      </c>
    </row>
    <row r="153" customFormat="false" ht="12.75" hidden="false" customHeight="false" outlineLevel="0" collapsed="false">
      <c r="A153" s="128" t="s">
        <v>206</v>
      </c>
      <c r="B153" s="263" t="s">
        <v>320</v>
      </c>
      <c r="C153" s="263"/>
      <c r="D153" s="78" t="n">
        <f aca="false">+D144</f>
        <v>0</v>
      </c>
    </row>
    <row r="155" customFormat="false" ht="12.75" hidden="false" customHeight="false" outlineLevel="0" collapsed="false">
      <c r="A155" s="340" t="s">
        <v>321</v>
      </c>
      <c r="B155" s="340"/>
      <c r="C155" s="340"/>
      <c r="D155" s="284" t="n">
        <f aca="false">ROUND(+D153+D152,2)</f>
        <v>0</v>
      </c>
    </row>
    <row r="157" customFormat="false" ht="12.75" hidden="false" customHeight="false" outlineLevel="0" collapsed="false">
      <c r="A157" s="285" t="s">
        <v>322</v>
      </c>
      <c r="B157" s="285"/>
      <c r="C157" s="285"/>
      <c r="D157" s="285"/>
    </row>
    <row r="159" customFormat="false" ht="12.75" hidden="false" customHeight="false" outlineLevel="0" collapsed="false">
      <c r="A159" s="128" t="s">
        <v>14</v>
      </c>
      <c r="B159" s="128" t="s">
        <v>223</v>
      </c>
      <c r="C159" s="286" t="e">
        <f aca="false">+C31</f>
        <v>#DIV/0!</v>
      </c>
      <c r="D159" s="78" t="n">
        <f aca="false">+D31</f>
        <v>0</v>
      </c>
    </row>
    <row r="160" customFormat="false" ht="12.75" hidden="false" customHeight="false" outlineLevel="0" collapsed="false">
      <c r="A160" s="128" t="s">
        <v>16</v>
      </c>
      <c r="B160" s="128" t="s">
        <v>226</v>
      </c>
      <c r="C160" s="286" t="e">
        <f aca="false">+C33</f>
        <v>#DIV/0!</v>
      </c>
      <c r="D160" s="78" t="n">
        <f aca="false">+D33</f>
        <v>0</v>
      </c>
    </row>
    <row r="161" customFormat="false" ht="12.75" hidden="false" customHeight="false" outlineLevel="0" collapsed="false">
      <c r="A161" s="128" t="s">
        <v>19</v>
      </c>
      <c r="B161" s="128" t="s">
        <v>228</v>
      </c>
      <c r="C161" s="286" t="e">
        <f aca="false">+C34</f>
        <v>#DIV/0!</v>
      </c>
      <c r="D161" s="78" t="n">
        <f aca="false">+D34</f>
        <v>0</v>
      </c>
    </row>
    <row r="162" customFormat="false" ht="25.5" hidden="false" customHeight="false" outlineLevel="0" collapsed="false">
      <c r="A162" s="128" t="s">
        <v>21</v>
      </c>
      <c r="B162" s="261" t="s">
        <v>261</v>
      </c>
      <c r="C162" s="225" t="e">
        <f aca="false">+C77</f>
        <v>#DIV/0!</v>
      </c>
      <c r="D162" s="78" t="n">
        <f aca="false">+D77</f>
        <v>0</v>
      </c>
    </row>
    <row r="163" customFormat="false" ht="25.5" hidden="false" customHeight="false" outlineLevel="0" collapsed="false">
      <c r="A163" s="128" t="s">
        <v>204</v>
      </c>
      <c r="B163" s="261" t="s">
        <v>264</v>
      </c>
      <c r="C163" s="286" t="e">
        <f aca="false">+C80</f>
        <v>#DIV/0!</v>
      </c>
      <c r="D163" s="129" t="n">
        <f aca="false">+D80</f>
        <v>0</v>
      </c>
    </row>
    <row r="164" customFormat="false" ht="12.75" hidden="false" customHeight="false" outlineLevel="0" collapsed="false">
      <c r="A164" s="128" t="s">
        <v>254</v>
      </c>
      <c r="B164" s="110" t="s">
        <v>323</v>
      </c>
      <c r="C164" s="287" t="e">
        <f aca="false">+(D164+D165+D166)/D25</f>
        <v>#DIV/0!</v>
      </c>
      <c r="D164" s="78" t="n">
        <f aca="false">ROUND(D31*(SUM($C$39:$C$46)),2)</f>
        <v>0</v>
      </c>
    </row>
    <row r="165" customFormat="false" ht="12.75" hidden="false" customHeight="false" outlineLevel="0" collapsed="false">
      <c r="A165" s="128" t="s">
        <v>324</v>
      </c>
      <c r="B165" s="110" t="s">
        <v>325</v>
      </c>
      <c r="C165" s="287"/>
      <c r="D165" s="78" t="n">
        <f aca="false">ROUND(D33*(SUM($C$39:$C$46)),2)</f>
        <v>0</v>
      </c>
    </row>
    <row r="166" customFormat="false" ht="12.75" hidden="false" customHeight="false" outlineLevel="0" collapsed="false">
      <c r="A166" s="128" t="s">
        <v>326</v>
      </c>
      <c r="B166" s="110" t="s">
        <v>327</v>
      </c>
      <c r="C166" s="287"/>
      <c r="D166" s="78" t="n">
        <f aca="false">ROUND(D34*(SUM($C$39:$C$46)),2)</f>
        <v>0</v>
      </c>
    </row>
    <row r="167" customFormat="false" ht="12.75" hidden="false" customHeight="false" outlineLevel="0" collapsed="false">
      <c r="A167" s="254" t="s">
        <v>218</v>
      </c>
      <c r="B167" s="254"/>
      <c r="C167" s="254"/>
      <c r="D167" s="288" t="n">
        <f aca="false">SUM(D159:D166)</f>
        <v>0</v>
      </c>
    </row>
    <row r="168" customFormat="false" ht="12.75" hidden="false" customHeight="false" outlineLevel="0" collapsed="false">
      <c r="B168" s="289"/>
      <c r="C168" s="289"/>
      <c r="D168" s="289"/>
    </row>
    <row r="169" s="127" customFormat="true" ht="44.25" hidden="false" customHeight="true" outlineLevel="0" collapsed="false">
      <c r="A169" s="290" t="s">
        <v>328</v>
      </c>
      <c r="B169" s="290"/>
      <c r="C169" s="290"/>
      <c r="D169" s="290"/>
      <c r="E169" s="291"/>
    </row>
    <row r="170" customFormat="false" ht="12.75" hidden="false" customHeight="false" outlineLevel="0" collapsed="false">
      <c r="A170" s="292"/>
      <c r="B170" s="292"/>
      <c r="C170" s="292"/>
      <c r="D170" s="292"/>
      <c r="E170" s="292"/>
    </row>
    <row r="171" customFormat="false" ht="42" hidden="false" customHeight="true" outlineLevel="0" collapsed="false">
      <c r="A171" s="293" t="s">
        <v>329</v>
      </c>
      <c r="B171" s="293"/>
      <c r="C171" s="293"/>
      <c r="D171" s="293"/>
      <c r="E171" s="292"/>
    </row>
  </sheetData>
  <mergeCells count="85">
    <mergeCell ref="A1:D1"/>
    <mergeCell ref="A4:D4"/>
    <mergeCell ref="C5:D5"/>
    <mergeCell ref="C6:D6"/>
    <mergeCell ref="C7:D7"/>
    <mergeCell ref="C8:D8"/>
    <mergeCell ref="C9:D9"/>
    <mergeCell ref="A11:D11"/>
    <mergeCell ref="B13:C13"/>
    <mergeCell ref="B16:C16"/>
    <mergeCell ref="B17:C17"/>
    <mergeCell ref="B18:C18"/>
    <mergeCell ref="B19:C19"/>
    <mergeCell ref="B20:C20"/>
    <mergeCell ref="B22:C22"/>
    <mergeCell ref="B23:C23"/>
    <mergeCell ref="B24:C24"/>
    <mergeCell ref="A25:C25"/>
    <mergeCell ref="A27:D27"/>
    <mergeCell ref="A29:D29"/>
    <mergeCell ref="A35:C35"/>
    <mergeCell ref="A37:D37"/>
    <mergeCell ref="A49:D49"/>
    <mergeCell ref="B61:C61"/>
    <mergeCell ref="A63:B63"/>
    <mergeCell ref="A65:D65"/>
    <mergeCell ref="B66:C66"/>
    <mergeCell ref="B67:C67"/>
    <mergeCell ref="B68:C68"/>
    <mergeCell ref="B69:C69"/>
    <mergeCell ref="A70:C70"/>
    <mergeCell ref="A72:D72"/>
    <mergeCell ref="A81:C81"/>
    <mergeCell ref="A83:D83"/>
    <mergeCell ref="A85:D85"/>
    <mergeCell ref="B86:C86"/>
    <mergeCell ref="B87:C87"/>
    <mergeCell ref="B88:C88"/>
    <mergeCell ref="B89:C89"/>
    <mergeCell ref="B90:C90"/>
    <mergeCell ref="B91:C91"/>
    <mergeCell ref="B92:C92"/>
    <mergeCell ref="B93:C93"/>
    <mergeCell ref="B94:C94"/>
    <mergeCell ref="A95:C95"/>
    <mergeCell ref="B97:C97"/>
    <mergeCell ref="B98:C98"/>
    <mergeCell ref="B99:C99"/>
    <mergeCell ref="B100:C100"/>
    <mergeCell ref="B101:C101"/>
    <mergeCell ref="A102:C102"/>
    <mergeCell ref="B104:C104"/>
    <mergeCell ref="B105:C105"/>
    <mergeCell ref="A106:C106"/>
    <mergeCell ref="A108:D108"/>
    <mergeCell ref="B109:C109"/>
    <mergeCell ref="B110:C110"/>
    <mergeCell ref="B111:C111"/>
    <mergeCell ref="B112:C112"/>
    <mergeCell ref="A113:C113"/>
    <mergeCell ref="A115:D115"/>
    <mergeCell ref="B117:C117"/>
    <mergeCell ref="B118:C118"/>
    <mergeCell ref="B120:C120"/>
    <mergeCell ref="B122:C122"/>
    <mergeCell ref="B124:C124"/>
    <mergeCell ref="A126:C126"/>
    <mergeCell ref="A128:D128"/>
    <mergeCell ref="A133:C133"/>
    <mergeCell ref="A134:C134"/>
    <mergeCell ref="A144:B144"/>
    <mergeCell ref="A146:D146"/>
    <mergeCell ref="B147:C147"/>
    <mergeCell ref="B148:C148"/>
    <mergeCell ref="B149:C149"/>
    <mergeCell ref="B150:C150"/>
    <mergeCell ref="B151:C151"/>
    <mergeCell ref="B152:C152"/>
    <mergeCell ref="B153:C153"/>
    <mergeCell ref="A155:C155"/>
    <mergeCell ref="A157:D157"/>
    <mergeCell ref="C164:C166"/>
    <mergeCell ref="A167:C167"/>
    <mergeCell ref="A169:D169"/>
    <mergeCell ref="A171:D171"/>
  </mergeCells>
  <printOptions headings="false" gridLines="false" gridLinesSet="true" horizontalCentered="false" verticalCentered="false"/>
  <pageMargins left="1.30972222222222" right="0.120138888888889" top="0.429861111111111" bottom="0.579861111111111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 filterMode="false">
    <tabColor rgb="FF77E57C"/>
    <pageSetUpPr fitToPage="false"/>
  </sheetPr>
  <dimension ref="A1:D24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54" activeCellId="0" sqref="E54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3" min="2" style="0" width="12.25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356" t="s">
        <v>456</v>
      </c>
      <c r="B1" s="356"/>
      <c r="C1" s="356"/>
    </row>
    <row r="3" customFormat="false" ht="12.75" hidden="false" customHeight="false" outlineLevel="0" collapsed="false">
      <c r="A3" s="128" t="s">
        <v>445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(365.25/12)/(7/5)</f>
        <v>21.7410714285714</v>
      </c>
    </row>
    <row r="6" customFormat="false" ht="12.75" hidden="false" customHeight="false" outlineLevel="0" collapsed="false">
      <c r="A6" s="110" t="s">
        <v>200</v>
      </c>
      <c r="B6" s="129" t="n">
        <f aca="false">+'Vigilante 44h Arm'!D13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44h Arm'!D25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44h Arm'!D13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44h Arm'!D14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44h Arm'!D15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44h Arm'!D16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44h Arm'!D17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44h Arm'!D21</f>
        <v>0</v>
      </c>
    </row>
    <row r="16" customFormat="false" ht="12.75" hidden="false" customHeight="false" outlineLevel="0" collapsed="false">
      <c r="A16" s="128" t="s">
        <v>442</v>
      </c>
      <c r="B16" s="260"/>
      <c r="C16" s="296" t="n">
        <f aca="false">+'Vigilante 44h Arm'!D23</f>
        <v>0</v>
      </c>
    </row>
    <row r="17" customFormat="false" ht="12.75" hidden="false" customHeight="false" outlineLevel="0" collapsed="false">
      <c r="A17" s="230" t="s">
        <v>337</v>
      </c>
      <c r="B17" s="297"/>
      <c r="C17" s="298" t="n">
        <f aca="false">SUM(C10:C16)</f>
        <v>0</v>
      </c>
    </row>
    <row r="18" customFormat="false" ht="12.75" hidden="false" customHeight="false" outlineLevel="0" collapsed="false">
      <c r="A18" s="128" t="s">
        <v>332</v>
      </c>
      <c r="B18" s="299" t="n">
        <f aca="false">+B3</f>
        <v>220</v>
      </c>
      <c r="C18" s="241"/>
    </row>
    <row r="19" customFormat="false" ht="12.75" hidden="false" customHeight="false" outlineLevel="0" collapsed="false">
      <c r="A19" s="230" t="s">
        <v>338</v>
      </c>
      <c r="B19" s="297"/>
      <c r="C19" s="232" t="n">
        <f aca="false">+C17/B18</f>
        <v>0</v>
      </c>
    </row>
    <row r="20" customFormat="false" ht="12.75" hidden="false" customHeight="false" outlineLevel="0" collapsed="false">
      <c r="A20" s="128" t="s">
        <v>339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340</v>
      </c>
      <c r="B21" s="128" t="n">
        <f aca="false">44/5</f>
        <v>8.8</v>
      </c>
      <c r="C21" s="241"/>
    </row>
    <row r="22" customFormat="false" ht="12.75" hidden="false" customHeight="false" outlineLevel="0" collapsed="false">
      <c r="A22" s="128" t="s">
        <v>341</v>
      </c>
      <c r="B22" s="128" t="n">
        <f aca="false">+B21*B20</f>
        <v>105.6</v>
      </c>
      <c r="C22" s="78" t="n">
        <f aca="false">+B22*C19</f>
        <v>0</v>
      </c>
    </row>
    <row r="23" customFormat="false" ht="12.75" hidden="false" customHeight="false" outlineLevel="0" collapsed="false">
      <c r="A23" s="128" t="s">
        <v>342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343</v>
      </c>
      <c r="B24" s="225" t="n">
        <v>1</v>
      </c>
      <c r="C24" s="78" t="n">
        <f aca="false">+B24*C23</f>
        <v>0</v>
      </c>
    </row>
    <row r="25" customFormat="false" ht="12.75" hidden="false" customHeight="false" outlineLevel="0" collapsed="false">
      <c r="A25" s="128" t="s">
        <v>344</v>
      </c>
      <c r="B25" s="128" t="n">
        <v>12</v>
      </c>
      <c r="C25" s="300"/>
    </row>
    <row r="26" customFormat="false" ht="12.75" hidden="false" customHeight="false" outlineLevel="0" collapsed="false">
      <c r="A26" s="268" t="s">
        <v>345</v>
      </c>
      <c r="B26" s="268"/>
      <c r="C26" s="288" t="n">
        <f aca="false">+C24/B25</f>
        <v>0</v>
      </c>
    </row>
    <row r="27" customFormat="false" ht="12.75" hidden="false" customHeight="false" outlineLevel="0" collapsed="false">
      <c r="C27" s="245"/>
    </row>
    <row r="28" customFormat="false" ht="12.75" hidden="false" customHeight="false" outlineLevel="0" collapsed="false">
      <c r="A28" s="255" t="s">
        <v>346</v>
      </c>
      <c r="B28" s="255"/>
      <c r="C28" s="255"/>
    </row>
    <row r="29" customFormat="false" ht="12.75" hidden="false" customHeight="false" outlineLevel="0" collapsed="false">
      <c r="A29" s="128" t="s">
        <v>338</v>
      </c>
      <c r="B29" s="260"/>
      <c r="C29" s="296" t="n">
        <v>0</v>
      </c>
    </row>
    <row r="30" customFormat="false" ht="12.75" hidden="false" customHeight="false" outlineLevel="0" collapsed="false">
      <c r="A30" s="128" t="s">
        <v>341</v>
      </c>
      <c r="B30" s="128" t="n">
        <v>192</v>
      </c>
      <c r="C30" s="241"/>
    </row>
    <row r="31" customFormat="false" ht="12.75" hidden="false" customHeight="false" outlineLevel="0" collapsed="false">
      <c r="A31" s="128" t="s">
        <v>347</v>
      </c>
      <c r="B31" s="128" t="n">
        <f aca="false">+$B$4</f>
        <v>365.25</v>
      </c>
      <c r="C31" s="241"/>
    </row>
    <row r="32" customFormat="false" ht="12.75" hidden="false" customHeight="false" outlineLevel="0" collapsed="false">
      <c r="A32" s="128" t="s">
        <v>339</v>
      </c>
      <c r="B32" s="128" t="n">
        <v>12</v>
      </c>
      <c r="C32" s="241"/>
    </row>
    <row r="33" customFormat="false" ht="12.75" hidden="false" customHeight="false" outlineLevel="0" collapsed="false">
      <c r="A33" s="128" t="s">
        <v>342</v>
      </c>
      <c r="B33" s="225" t="n">
        <v>1</v>
      </c>
      <c r="C33" s="241"/>
    </row>
    <row r="34" customFormat="false" ht="12.75" hidden="false" customHeight="false" outlineLevel="0" collapsed="false">
      <c r="A34" s="128" t="s">
        <v>348</v>
      </c>
      <c r="B34" s="301" t="n">
        <f aca="false">ROUND(((B31/7)*6)-B32,2)</f>
        <v>301.07</v>
      </c>
      <c r="C34" s="241"/>
    </row>
    <row r="35" customFormat="false" ht="12.75" hidden="false" customHeight="false" outlineLevel="0" collapsed="false">
      <c r="A35" s="128" t="s">
        <v>349</v>
      </c>
      <c r="B35" s="110" t="n">
        <v>12</v>
      </c>
      <c r="C35" s="241"/>
    </row>
    <row r="36" customFormat="false" ht="25.5" hidden="false" customHeight="false" outlineLevel="0" collapsed="false">
      <c r="A36" s="261" t="s">
        <v>350</v>
      </c>
      <c r="B36" s="128" t="n">
        <f aca="false">+((B30/B35)*B33)/B34</f>
        <v>0.0531437871591324</v>
      </c>
      <c r="C36" s="241"/>
    </row>
    <row r="37" customFormat="false" ht="12.75" hidden="false" customHeight="false" outlineLevel="0" collapsed="false">
      <c r="A37" s="253" t="s">
        <v>351</v>
      </c>
      <c r="B37" s="253"/>
      <c r="C37" s="288" t="n">
        <f aca="false">+C29*(B31-B34)*B36</f>
        <v>0</v>
      </c>
    </row>
    <row r="38" customFormat="false" ht="12.75" hidden="false" customHeight="false" outlineLevel="0" collapsed="false">
      <c r="C38" s="245"/>
    </row>
    <row r="39" customFormat="false" ht="12.75" hidden="false" customHeight="false" outlineLevel="0" collapsed="false">
      <c r="A39" s="255" t="s">
        <v>446</v>
      </c>
      <c r="B39" s="255"/>
      <c r="C39" s="255"/>
    </row>
    <row r="40" customFormat="false" ht="12.75" hidden="false" customHeight="false" outlineLevel="0" collapsed="false">
      <c r="A40" s="128" t="s">
        <v>200</v>
      </c>
      <c r="B40" s="260"/>
      <c r="C40" s="296" t="n">
        <v>0</v>
      </c>
    </row>
    <row r="41" customFormat="false" ht="12.75" hidden="false" customHeight="false" outlineLevel="0" collapsed="false">
      <c r="A41" s="128" t="s">
        <v>332</v>
      </c>
      <c r="B41" s="299" t="n">
        <f aca="false">+B3</f>
        <v>220</v>
      </c>
      <c r="C41" s="241"/>
    </row>
    <row r="42" customFormat="false" ht="12.75" hidden="false" customHeight="false" outlineLevel="0" collapsed="false">
      <c r="A42" s="230" t="s">
        <v>338</v>
      </c>
      <c r="B42" s="297"/>
      <c r="C42" s="232" t="n">
        <f aca="false">+C40/B41</f>
        <v>0</v>
      </c>
    </row>
    <row r="43" s="34" customFormat="true" ht="12.75" hidden="false" customHeight="false" outlineLevel="0" collapsed="false">
      <c r="A43" s="128" t="s">
        <v>447</v>
      </c>
      <c r="B43" s="225" t="n">
        <v>0.5</v>
      </c>
      <c r="C43" s="232"/>
    </row>
    <row r="44" s="34" customFormat="true" ht="12.75" hidden="false" customHeight="false" outlineLevel="0" collapsed="false">
      <c r="A44" s="230" t="s">
        <v>448</v>
      </c>
      <c r="B44" s="309"/>
      <c r="C44" s="232" t="n">
        <f aca="false">+C42*(1+B43)</f>
        <v>0</v>
      </c>
    </row>
    <row r="45" customFormat="false" ht="12.75" hidden="false" customHeight="false" outlineLevel="0" collapsed="false">
      <c r="A45" s="110" t="s">
        <v>449</v>
      </c>
      <c r="B45" s="128" t="n">
        <v>12</v>
      </c>
      <c r="C45" s="241"/>
    </row>
    <row r="46" customFormat="false" ht="12.75" hidden="false" customHeight="false" outlineLevel="0" collapsed="false">
      <c r="A46" s="128" t="s">
        <v>334</v>
      </c>
      <c r="B46" s="348" t="n">
        <f aca="false">+B5</f>
        <v>21.7410714285714</v>
      </c>
      <c r="C46" s="241"/>
    </row>
    <row r="47" customFormat="false" ht="12.75" hidden="false" customHeight="false" outlineLevel="0" collapsed="false">
      <c r="A47" s="110" t="s">
        <v>450</v>
      </c>
      <c r="B47" s="128" t="n">
        <v>192</v>
      </c>
      <c r="C47" s="241"/>
    </row>
    <row r="48" customFormat="false" ht="12.75" hidden="false" customHeight="false" outlineLevel="0" collapsed="false">
      <c r="A48" s="110" t="s">
        <v>451</v>
      </c>
      <c r="B48" s="128" t="n">
        <f aca="false">ROUND(+B46*B45,2)</f>
        <v>260.89</v>
      </c>
      <c r="C48" s="241"/>
    </row>
    <row r="49" customFormat="false" ht="12.75" hidden="false" customHeight="false" outlineLevel="0" collapsed="false">
      <c r="A49" s="110" t="s">
        <v>452</v>
      </c>
      <c r="B49" s="128" t="n">
        <f aca="false">+B48-B47</f>
        <v>68.89</v>
      </c>
      <c r="C49" s="241"/>
    </row>
    <row r="50" customFormat="false" ht="12.75" hidden="false" customHeight="false" outlineLevel="0" collapsed="false">
      <c r="A50" s="253" t="s">
        <v>453</v>
      </c>
      <c r="B50" s="253"/>
      <c r="C50" s="288" t="n">
        <f aca="false">+B49*C44</f>
        <v>0</v>
      </c>
    </row>
    <row r="51" customFormat="false" ht="12.75" hidden="false" customHeight="false" outlineLevel="0" collapsed="false">
      <c r="C51" s="245"/>
    </row>
    <row r="52" customFormat="false" ht="12.75" hidden="false" customHeight="false" outlineLevel="0" collapsed="false">
      <c r="A52" s="285" t="s">
        <v>352</v>
      </c>
      <c r="B52" s="285"/>
      <c r="C52" s="285"/>
    </row>
    <row r="53" customFormat="false" ht="12.75" hidden="false" customHeight="false" outlineLevel="0" collapsed="false">
      <c r="A53" s="264" t="s">
        <v>200</v>
      </c>
      <c r="B53" s="302"/>
      <c r="C53" s="303" t="n">
        <v>0</v>
      </c>
    </row>
    <row r="54" customFormat="false" ht="12.75" hidden="false" customHeight="false" outlineLevel="0" collapsed="false">
      <c r="A54" s="264" t="s">
        <v>201</v>
      </c>
      <c r="B54" s="304"/>
      <c r="C54" s="303" t="n">
        <f aca="false">+'Vigilante 44h Arm'!D14</f>
        <v>0</v>
      </c>
    </row>
    <row r="55" customFormat="false" ht="12.75" hidden="false" customHeight="false" outlineLevel="0" collapsed="false">
      <c r="A55" s="264" t="s">
        <v>202</v>
      </c>
      <c r="B55" s="304"/>
      <c r="C55" s="303" t="n">
        <f aca="false">+'Vigilante 44h Arm'!D15</f>
        <v>0</v>
      </c>
    </row>
    <row r="56" customFormat="false" ht="12.75" hidden="false" customHeight="false" outlineLevel="0" collapsed="false">
      <c r="A56" s="264" t="s">
        <v>203</v>
      </c>
      <c r="B56" s="304"/>
      <c r="C56" s="303" t="n">
        <f aca="false">+'Vigilante 44h Arm'!D16</f>
        <v>0</v>
      </c>
    </row>
    <row r="57" customFormat="false" ht="12.75" hidden="false" customHeight="false" outlineLevel="0" collapsed="false">
      <c r="A57" s="264" t="s">
        <v>205</v>
      </c>
      <c r="B57" s="304"/>
      <c r="C57" s="303" t="n">
        <f aca="false">+'Vigilante 44h Arm'!D17</f>
        <v>0</v>
      </c>
    </row>
    <row r="58" customFormat="false" ht="12.75" hidden="false" customHeight="false" outlineLevel="0" collapsed="false">
      <c r="A58" s="264" t="s">
        <v>209</v>
      </c>
      <c r="B58" s="304"/>
      <c r="C58" s="303" t="n">
        <f aca="false">+'Vigilante 44h Arm'!D19</f>
        <v>0</v>
      </c>
    </row>
    <row r="59" customFormat="false" ht="12.75" hidden="false" customHeight="false" outlineLevel="0" collapsed="false">
      <c r="A59" s="264" t="s">
        <v>213</v>
      </c>
      <c r="B59" s="304"/>
      <c r="C59" s="303" t="n">
        <f aca="false">+'Vigilante 44h Arm'!D21</f>
        <v>0</v>
      </c>
    </row>
    <row r="60" customFormat="false" ht="12.75" hidden="false" customHeight="false" outlineLevel="0" collapsed="false">
      <c r="A60" s="230" t="s">
        <v>353</v>
      </c>
      <c r="B60" s="305"/>
      <c r="C60" s="306" t="n">
        <f aca="false">SUM(C53:C59)</f>
        <v>0</v>
      </c>
    </row>
    <row r="61" customFormat="false" ht="12.75" hidden="false" customHeight="false" outlineLevel="0" collapsed="false">
      <c r="A61" s="128" t="s">
        <v>332</v>
      </c>
      <c r="B61" s="299" t="n">
        <f aca="false">+B3</f>
        <v>220</v>
      </c>
      <c r="C61" s="304"/>
    </row>
    <row r="62" customFormat="false" ht="12.75" hidden="false" customHeight="false" outlineLevel="0" collapsed="false">
      <c r="A62" s="128" t="s">
        <v>338</v>
      </c>
      <c r="B62" s="304"/>
      <c r="C62" s="307" t="n">
        <f aca="false">ROUND(+C60/B61,2)</f>
        <v>0</v>
      </c>
    </row>
    <row r="63" customFormat="false" ht="12.75" hidden="false" customHeight="false" outlineLevel="0" collapsed="false">
      <c r="A63" s="128" t="s">
        <v>354</v>
      </c>
      <c r="B63" s="295" t="n">
        <f aca="false">(365.25/12)/(7/5)</f>
        <v>21.7410714285714</v>
      </c>
      <c r="C63" s="304"/>
    </row>
    <row r="64" customFormat="false" ht="12.75" hidden="false" customHeight="false" outlineLevel="0" collapsed="false">
      <c r="A64" s="128" t="s">
        <v>355</v>
      </c>
      <c r="B64" s="225" t="n">
        <v>0.5</v>
      </c>
      <c r="C64" s="128"/>
    </row>
    <row r="65" customFormat="false" ht="12.75" hidden="false" customHeight="false" outlineLevel="0" collapsed="false">
      <c r="A65" s="268" t="s">
        <v>356</v>
      </c>
      <c r="B65" s="268"/>
      <c r="C65" s="288" t="n">
        <f aca="false">ROUND((B63*C62)*(1+B64),2)</f>
        <v>0</v>
      </c>
    </row>
    <row r="67" customFormat="false" ht="12.75" hidden="false" customHeight="false" outlineLevel="0" collapsed="false">
      <c r="A67" s="285" t="s">
        <v>357</v>
      </c>
      <c r="B67" s="285"/>
      <c r="C67" s="285"/>
    </row>
    <row r="68" customFormat="false" ht="12.75" hidden="false" customHeight="false" outlineLevel="0" collapsed="false">
      <c r="A68" s="128" t="s">
        <v>347</v>
      </c>
      <c r="B68" s="128" t="n">
        <v>365.25</v>
      </c>
      <c r="C68" s="260"/>
    </row>
    <row r="69" customFormat="false" ht="12.75" hidden="false" customHeight="false" outlineLevel="0" collapsed="false">
      <c r="A69" s="128" t="s">
        <v>349</v>
      </c>
      <c r="B69" s="110" t="n">
        <v>12</v>
      </c>
      <c r="C69" s="260"/>
    </row>
    <row r="70" customFormat="false" ht="12.75" hidden="false" customHeight="false" outlineLevel="0" collapsed="false">
      <c r="A70" s="128" t="s">
        <v>358</v>
      </c>
      <c r="B70" s="225" t="n">
        <v>1</v>
      </c>
      <c r="C70" s="260"/>
    </row>
    <row r="71" customFormat="false" ht="12.75" hidden="false" customHeight="false" outlineLevel="0" collapsed="false">
      <c r="A71" s="308" t="s">
        <v>457</v>
      </c>
      <c r="B71" s="110" t="n">
        <v>7</v>
      </c>
      <c r="C71" s="260"/>
    </row>
    <row r="72" customFormat="false" ht="12.75" hidden="false" customHeight="false" outlineLevel="0" collapsed="false">
      <c r="A72" s="110" t="s">
        <v>360</v>
      </c>
      <c r="B72" s="260"/>
      <c r="C72" s="129"/>
    </row>
    <row r="73" customFormat="false" ht="12.75" hidden="false" customHeight="false" outlineLevel="0" collapsed="false">
      <c r="A73" s="110" t="s">
        <v>201</v>
      </c>
      <c r="B73" s="260"/>
      <c r="C73" s="129"/>
    </row>
    <row r="74" customFormat="false" ht="12.75" hidden="false" customHeight="false" outlineLevel="0" collapsed="false">
      <c r="A74" s="110" t="s">
        <v>202</v>
      </c>
      <c r="B74" s="260"/>
      <c r="C74" s="129"/>
    </row>
    <row r="75" customFormat="false" ht="12.75" hidden="false" customHeight="false" outlineLevel="0" collapsed="false">
      <c r="A75" s="309" t="s">
        <v>337</v>
      </c>
      <c r="B75" s="260"/>
      <c r="C75" s="310" t="n">
        <f aca="false">SUM(C72:C74)</f>
        <v>0</v>
      </c>
    </row>
    <row r="76" customFormat="false" ht="12.75" hidden="false" customHeight="false" outlineLevel="0" collapsed="false">
      <c r="A76" s="128" t="s">
        <v>332</v>
      </c>
      <c r="B76" s="311" t="n">
        <f aca="false">+B3</f>
        <v>220</v>
      </c>
      <c r="C76" s="260"/>
    </row>
    <row r="77" customFormat="false" ht="12.75" hidden="false" customHeight="false" outlineLevel="0" collapsed="false">
      <c r="A77" s="110" t="s">
        <v>361</v>
      </c>
      <c r="B77" s="225" t="n">
        <v>0.2</v>
      </c>
      <c r="C77" s="260"/>
    </row>
    <row r="78" customFormat="false" ht="12.75" hidden="false" customHeight="false" outlineLevel="0" collapsed="false">
      <c r="A78" s="110" t="s">
        <v>362</v>
      </c>
      <c r="B78" s="260"/>
      <c r="C78" s="78" t="n">
        <f aca="false">ROUND((C75/B76)*B77,2)</f>
        <v>0</v>
      </c>
    </row>
    <row r="79" customFormat="false" ht="12.75" hidden="false" customHeight="false" outlineLevel="0" collapsed="false">
      <c r="A79" s="110" t="s">
        <v>363</v>
      </c>
      <c r="B79" s="128" t="n">
        <f aca="false">ROUND(+B68/B69*B70*B71,0)</f>
        <v>213</v>
      </c>
      <c r="C79" s="312"/>
    </row>
    <row r="80" customFormat="false" ht="12.75" hidden="false" customHeight="false" outlineLevel="0" collapsed="false">
      <c r="A80" s="313" t="s">
        <v>364</v>
      </c>
      <c r="B80" s="313"/>
      <c r="C80" s="26" t="n">
        <f aca="false">ROUND(+B79*C78,2)</f>
        <v>0</v>
      </c>
    </row>
    <row r="82" customFormat="false" ht="12.75" hidden="false" customHeight="false" outlineLevel="0" collapsed="false">
      <c r="A82" s="255" t="s">
        <v>365</v>
      </c>
      <c r="B82" s="255"/>
      <c r="C82" s="255"/>
    </row>
    <row r="83" customFormat="false" ht="12.75" hidden="false" customHeight="false" outlineLevel="0" collapsed="false">
      <c r="A83" s="128" t="s">
        <v>338</v>
      </c>
      <c r="B83" s="260"/>
      <c r="C83" s="296" t="n">
        <f aca="false">+C80</f>
        <v>0</v>
      </c>
    </row>
    <row r="84" customFormat="false" ht="12.75" hidden="false" customHeight="false" outlineLevel="0" collapsed="false">
      <c r="A84" s="128" t="s">
        <v>341</v>
      </c>
      <c r="B84" s="128" t="n">
        <v>192</v>
      </c>
      <c r="C84" s="241"/>
    </row>
    <row r="85" customFormat="false" ht="12.75" hidden="false" customHeight="false" outlineLevel="0" collapsed="false">
      <c r="A85" s="128" t="s">
        <v>347</v>
      </c>
      <c r="B85" s="128" t="n">
        <f aca="false">+$B$4</f>
        <v>365.25</v>
      </c>
      <c r="C85" s="241"/>
    </row>
    <row r="86" customFormat="false" ht="12.75" hidden="false" customHeight="false" outlineLevel="0" collapsed="false">
      <c r="A86" s="128" t="s">
        <v>339</v>
      </c>
      <c r="B86" s="128" t="n">
        <v>12</v>
      </c>
      <c r="C86" s="241"/>
    </row>
    <row r="87" customFormat="false" ht="12.75" hidden="false" customHeight="false" outlineLevel="0" collapsed="false">
      <c r="A87" s="128" t="s">
        <v>342</v>
      </c>
      <c r="B87" s="225" t="n">
        <v>1</v>
      </c>
      <c r="C87" s="241"/>
    </row>
    <row r="88" customFormat="false" ht="12.75" hidden="false" customHeight="false" outlineLevel="0" collapsed="false">
      <c r="A88" s="128" t="s">
        <v>348</v>
      </c>
      <c r="B88" s="301" t="n">
        <f aca="false">ROUND(((B85/7)*6)-B86,2)</f>
        <v>301.07</v>
      </c>
      <c r="C88" s="241"/>
    </row>
    <row r="89" customFormat="false" ht="12.75" hidden="false" customHeight="false" outlineLevel="0" collapsed="false">
      <c r="A89" s="128" t="s">
        <v>349</v>
      </c>
      <c r="B89" s="110" t="n">
        <v>12</v>
      </c>
      <c r="C89" s="241"/>
    </row>
    <row r="90" customFormat="false" ht="25.5" hidden="false" customHeight="false" outlineLevel="0" collapsed="false">
      <c r="A90" s="261" t="s">
        <v>350</v>
      </c>
      <c r="B90" s="128" t="n">
        <f aca="false">+((B84/B89)*B87)/B88</f>
        <v>0.0531437871591324</v>
      </c>
      <c r="C90" s="241"/>
    </row>
    <row r="91" customFormat="false" ht="12.75" hidden="false" customHeight="false" outlineLevel="0" collapsed="false">
      <c r="A91" s="253" t="s">
        <v>351</v>
      </c>
      <c r="B91" s="253"/>
      <c r="C91" s="288" t="n">
        <f aca="false">+C83/B84*(B85-B88)*B90</f>
        <v>0</v>
      </c>
    </row>
    <row r="93" customFormat="false" ht="12.75" hidden="false" customHeight="false" outlineLevel="0" collapsed="false">
      <c r="A93" s="285" t="s">
        <v>366</v>
      </c>
      <c r="B93" s="285"/>
      <c r="C93" s="285"/>
    </row>
    <row r="94" customFormat="false" ht="12.75" hidden="false" customHeight="false" outlineLevel="0" collapsed="false">
      <c r="A94" s="128" t="s">
        <v>347</v>
      </c>
      <c r="B94" s="128" t="n">
        <f aca="false">+$B$4</f>
        <v>365.25</v>
      </c>
      <c r="C94" s="260"/>
    </row>
    <row r="95" customFormat="false" ht="12.75" hidden="false" customHeight="false" outlineLevel="0" collapsed="false">
      <c r="A95" s="128" t="s">
        <v>349</v>
      </c>
      <c r="B95" s="110" t="n">
        <v>12</v>
      </c>
      <c r="C95" s="260"/>
    </row>
    <row r="96" customFormat="false" ht="12.75" hidden="false" customHeight="false" outlineLevel="0" collapsed="false">
      <c r="A96" s="128" t="s">
        <v>358</v>
      </c>
      <c r="B96" s="225" t="n">
        <v>1</v>
      </c>
      <c r="C96" s="260"/>
      <c r="D96" s="314"/>
    </row>
    <row r="97" customFormat="false" ht="12.75" hidden="false" customHeight="false" outlineLevel="0" collapsed="false">
      <c r="A97" s="308" t="s">
        <v>359</v>
      </c>
      <c r="B97" s="110" t="n">
        <v>7</v>
      </c>
      <c r="C97" s="260"/>
      <c r="D97" s="314"/>
    </row>
    <row r="98" customFormat="false" ht="12.75" hidden="false" customHeight="false" outlineLevel="0" collapsed="false">
      <c r="A98" s="110" t="s">
        <v>367</v>
      </c>
      <c r="B98" s="295" t="n">
        <f aca="false">(365.25/12)/(7/5)</f>
        <v>21.7410714285714</v>
      </c>
      <c r="C98" s="128"/>
      <c r="D98" s="314"/>
    </row>
    <row r="99" customFormat="false" ht="12.75" hidden="false" customHeight="false" outlineLevel="0" collapsed="false">
      <c r="A99" s="110" t="s">
        <v>368</v>
      </c>
      <c r="B99" s="128" t="n">
        <f aca="false">ROUND(+B98*B97,2)</f>
        <v>152.19</v>
      </c>
      <c r="C99" s="128"/>
    </row>
    <row r="100" customFormat="false" ht="12.75" hidden="false" customHeight="false" outlineLevel="0" collapsed="false">
      <c r="A100" s="110" t="s">
        <v>360</v>
      </c>
      <c r="B100" s="260"/>
      <c r="C100" s="129"/>
    </row>
    <row r="101" customFormat="false" ht="12.75" hidden="false" customHeight="false" outlineLevel="0" collapsed="false">
      <c r="A101" s="110" t="s">
        <v>201</v>
      </c>
      <c r="B101" s="260"/>
      <c r="C101" s="129"/>
    </row>
    <row r="102" customFormat="false" ht="12.75" hidden="false" customHeight="false" outlineLevel="0" collapsed="false">
      <c r="A102" s="110" t="s">
        <v>202</v>
      </c>
      <c r="B102" s="260"/>
      <c r="C102" s="129"/>
    </row>
    <row r="103" customFormat="false" ht="12.75" hidden="false" customHeight="false" outlineLevel="0" collapsed="false">
      <c r="A103" s="309" t="s">
        <v>337</v>
      </c>
      <c r="B103" s="260"/>
      <c r="C103" s="310" t="n">
        <f aca="false">SUM(C100:C102)</f>
        <v>0</v>
      </c>
      <c r="D103" s="103"/>
    </row>
    <row r="104" customFormat="false" ht="12.75" hidden="false" customHeight="false" outlineLevel="0" collapsed="false">
      <c r="A104" s="128" t="s">
        <v>332</v>
      </c>
      <c r="B104" s="311" t="n">
        <f aca="false">+B3</f>
        <v>220</v>
      </c>
      <c r="C104" s="260"/>
    </row>
    <row r="105" customFormat="false" ht="12.75" hidden="false" customHeight="false" outlineLevel="0" collapsed="false">
      <c r="A105" s="110" t="s">
        <v>361</v>
      </c>
      <c r="B105" s="225" t="n">
        <v>0.2</v>
      </c>
      <c r="C105" s="260"/>
    </row>
    <row r="106" customFormat="false" ht="12.75" hidden="false" customHeight="false" outlineLevel="0" collapsed="false">
      <c r="A106" s="110" t="s">
        <v>362</v>
      </c>
      <c r="B106" s="260"/>
      <c r="C106" s="78" t="n">
        <f aca="false">ROUND((C103/B104)*B105,2)</f>
        <v>0</v>
      </c>
    </row>
    <row r="107" customFormat="false" ht="12.75" hidden="false" customHeight="false" outlineLevel="0" collapsed="false">
      <c r="A107" s="110" t="s">
        <v>369</v>
      </c>
      <c r="B107" s="128" t="n">
        <v>60</v>
      </c>
      <c r="C107" s="260"/>
    </row>
    <row r="108" customFormat="false" ht="12.75" hidden="false" customHeight="false" outlineLevel="0" collapsed="false">
      <c r="A108" s="110" t="s">
        <v>370</v>
      </c>
      <c r="B108" s="128" t="n">
        <v>52.5</v>
      </c>
      <c r="C108" s="260"/>
    </row>
    <row r="109" customFormat="false" ht="12.75" hidden="false" customHeight="false" outlineLevel="0" collapsed="false">
      <c r="A109" s="110" t="s">
        <v>371</v>
      </c>
      <c r="B109" s="128" t="n">
        <f aca="false">+B107/B108</f>
        <v>1.14285714285714</v>
      </c>
      <c r="C109" s="260"/>
    </row>
    <row r="110" customFormat="false" ht="12.75" hidden="false" customHeight="false" outlineLevel="0" collapsed="false">
      <c r="A110" s="110" t="s">
        <v>372</v>
      </c>
      <c r="B110" s="128" t="n">
        <f aca="false">ROUND(+B109*B99,2)</f>
        <v>173.93</v>
      </c>
      <c r="C110" s="260"/>
    </row>
    <row r="111" customFormat="false" ht="12.75" hidden="false" customHeight="false" outlineLevel="0" collapsed="false">
      <c r="A111" s="110" t="s">
        <v>373</v>
      </c>
      <c r="B111" s="128" t="n">
        <f aca="false">ROUND(B110-B99,2)</f>
        <v>21.74</v>
      </c>
      <c r="C111" s="312"/>
    </row>
    <row r="112" customFormat="false" ht="12.75" hidden="false" customHeight="false" outlineLevel="0" collapsed="false">
      <c r="A112" s="268" t="s">
        <v>374</v>
      </c>
      <c r="B112" s="268"/>
      <c r="C112" s="272" t="n">
        <f aca="false">+B111*C106</f>
        <v>0</v>
      </c>
    </row>
    <row r="114" customFormat="false" ht="12.75" hidden="false" customHeight="false" outlineLevel="0" collapsed="false">
      <c r="A114" s="285" t="s">
        <v>375</v>
      </c>
      <c r="B114" s="285"/>
      <c r="C114" s="285"/>
    </row>
    <row r="115" customFormat="false" ht="12.75" hidden="false" customHeight="false" outlineLevel="0" collapsed="false">
      <c r="A115" s="128" t="s">
        <v>347</v>
      </c>
      <c r="B115" s="128" t="n">
        <f aca="false">+$B$4</f>
        <v>365.25</v>
      </c>
      <c r="C115" s="260"/>
    </row>
    <row r="116" customFormat="false" ht="12.75" hidden="false" customHeight="false" outlineLevel="0" collapsed="false">
      <c r="A116" s="128" t="s">
        <v>349</v>
      </c>
      <c r="B116" s="110" t="n">
        <v>12</v>
      </c>
      <c r="C116" s="260"/>
    </row>
    <row r="117" customFormat="false" ht="12.75" hidden="false" customHeight="false" outlineLevel="0" collapsed="false">
      <c r="A117" s="128" t="s">
        <v>358</v>
      </c>
      <c r="B117" s="225" t="n">
        <v>1</v>
      </c>
      <c r="C117" s="260"/>
    </row>
    <row r="118" customFormat="false" ht="12.75" hidden="false" customHeight="false" outlineLevel="0" collapsed="false">
      <c r="A118" s="110" t="s">
        <v>376</v>
      </c>
      <c r="B118" s="348" t="n">
        <f aca="false">+B5</f>
        <v>21.7410714285714</v>
      </c>
      <c r="C118" s="260"/>
    </row>
    <row r="119" customFormat="false" ht="12.75" hidden="false" customHeight="false" outlineLevel="0" collapsed="false">
      <c r="A119" s="315" t="s">
        <v>377</v>
      </c>
      <c r="B119" s="316"/>
      <c r="C119" s="260"/>
    </row>
    <row r="120" customFormat="false" ht="12.75" hidden="false" customHeight="false" outlineLevel="0" collapsed="false">
      <c r="A120" s="128" t="s">
        <v>378</v>
      </c>
      <c r="B120" s="225" t="n">
        <v>0.06</v>
      </c>
      <c r="C120" s="260"/>
    </row>
    <row r="121" customFormat="false" ht="12.75" hidden="false" customHeight="false" outlineLevel="0" collapsed="false">
      <c r="A121" s="268" t="s">
        <v>379</v>
      </c>
      <c r="B121" s="268"/>
      <c r="C121" s="288" t="n">
        <f aca="false">ROUND((B118*(B119*2)-($B$6*B120)),2)</f>
        <v>0</v>
      </c>
    </row>
    <row r="123" customFormat="false" ht="12.75" hidden="false" customHeight="false" outlineLevel="0" collapsed="false">
      <c r="A123" s="285" t="s">
        <v>380</v>
      </c>
      <c r="B123" s="285"/>
      <c r="C123" s="285"/>
    </row>
    <row r="124" customFormat="false" ht="12.75" hidden="false" customHeight="false" outlineLevel="0" collapsed="false">
      <c r="A124" s="128" t="s">
        <v>347</v>
      </c>
      <c r="B124" s="128" t="n">
        <f aca="false">+$B$4</f>
        <v>365.25</v>
      </c>
      <c r="C124" s="260"/>
    </row>
    <row r="125" customFormat="false" ht="12.75" hidden="false" customHeight="false" outlineLevel="0" collapsed="false">
      <c r="A125" s="128" t="s">
        <v>349</v>
      </c>
      <c r="B125" s="110" t="n">
        <v>12</v>
      </c>
      <c r="C125" s="260"/>
    </row>
    <row r="126" customFormat="false" ht="12.75" hidden="false" customHeight="false" outlineLevel="0" collapsed="false">
      <c r="A126" s="128" t="s">
        <v>358</v>
      </c>
      <c r="B126" s="225" t="n">
        <v>1</v>
      </c>
      <c r="C126" s="260"/>
    </row>
    <row r="127" customFormat="false" ht="12.75" hidden="false" customHeight="false" outlineLevel="0" collapsed="false">
      <c r="A127" s="110" t="s">
        <v>376</v>
      </c>
      <c r="B127" s="348" t="n">
        <f aca="false">+B5</f>
        <v>21.7410714285714</v>
      </c>
      <c r="C127" s="260"/>
    </row>
    <row r="128" customFormat="false" ht="12.75" hidden="false" customHeight="false" outlineLevel="0" collapsed="false">
      <c r="A128" s="315" t="s">
        <v>381</v>
      </c>
      <c r="B128" s="316"/>
      <c r="C128" s="260"/>
    </row>
    <row r="129" customFormat="false" ht="12.75" hidden="false" customHeight="false" outlineLevel="0" collapsed="false">
      <c r="A129" s="128" t="s">
        <v>454</v>
      </c>
      <c r="B129" s="225" t="n">
        <v>0.2</v>
      </c>
      <c r="C129" s="260"/>
    </row>
    <row r="130" customFormat="false" ht="12.75" hidden="false" customHeight="false" outlineLevel="0" collapsed="false">
      <c r="A130" s="268" t="s">
        <v>381</v>
      </c>
      <c r="B130" s="268"/>
      <c r="C130" s="288" t="n">
        <f aca="false">ROUND((B127*(B128)-((B127*B128)*B129)),2)</f>
        <v>0</v>
      </c>
    </row>
    <row r="132" customFormat="false" ht="12.75" hidden="false" customHeight="false" outlineLevel="0" collapsed="false">
      <c r="A132" s="285" t="s">
        <v>383</v>
      </c>
      <c r="B132" s="285"/>
      <c r="C132" s="285"/>
    </row>
    <row r="133" customFormat="false" ht="12.75" hidden="false" customHeight="false" outlineLevel="0" collapsed="false">
      <c r="A133" s="128" t="s">
        <v>384</v>
      </c>
      <c r="B133" s="129" t="n">
        <f aca="false">+B7</f>
        <v>0</v>
      </c>
      <c r="C133" s="260"/>
    </row>
    <row r="134" customFormat="false" ht="12.75" hidden="false" customHeight="false" outlineLevel="0" collapsed="false">
      <c r="A134" s="128" t="s">
        <v>385</v>
      </c>
      <c r="B134" s="128" t="n">
        <v>12</v>
      </c>
      <c r="C134" s="260"/>
    </row>
    <row r="135" customFormat="false" ht="12.75" hidden="false" customHeight="false" outlineLevel="0" collapsed="false">
      <c r="A135" s="246" t="s">
        <v>386</v>
      </c>
      <c r="B135" s="274"/>
      <c r="C135" s="260"/>
    </row>
    <row r="136" customFormat="false" ht="12.75" hidden="false" customHeight="false" outlineLevel="0" collapsed="false">
      <c r="A136" s="268" t="s">
        <v>387</v>
      </c>
      <c r="B136" s="268"/>
      <c r="C136" s="288" t="n">
        <f aca="false">ROUND(+(B133/B134)*B135,2)</f>
        <v>0</v>
      </c>
    </row>
    <row r="138" customFormat="false" ht="12.75" hidden="false" customHeight="true" outlineLevel="0" collapsed="false">
      <c r="A138" s="317" t="s">
        <v>388</v>
      </c>
      <c r="B138" s="317"/>
      <c r="C138" s="317"/>
    </row>
    <row r="139" s="34" customFormat="true" ht="12.75" hidden="false" customHeight="false" outlineLevel="0" collapsed="false">
      <c r="A139" s="318" t="s">
        <v>389</v>
      </c>
      <c r="B139" s="274" t="n">
        <f aca="false">+B135</f>
        <v>0</v>
      </c>
      <c r="C139" s="260"/>
    </row>
    <row r="140" customFormat="false" ht="12.75" hidden="false" customHeight="false" outlineLevel="0" collapsed="false">
      <c r="A140" s="128" t="s">
        <v>390</v>
      </c>
      <c r="B140" s="129" t="n">
        <f aca="false">+'Vigilante 44h Arm'!$D$25</f>
        <v>0</v>
      </c>
      <c r="C140" s="260"/>
    </row>
    <row r="141" customFormat="false" ht="12.75" hidden="false" customHeight="false" outlineLevel="0" collapsed="false">
      <c r="A141" s="128" t="s">
        <v>223</v>
      </c>
      <c r="B141" s="129" t="n">
        <f aca="false">+'Vigilante 44h Arm'!$D$31</f>
        <v>0</v>
      </c>
      <c r="C141" s="260"/>
    </row>
    <row r="142" customFormat="false" ht="12.75" hidden="false" customHeight="false" outlineLevel="0" collapsed="false">
      <c r="A142" s="319" t="s">
        <v>226</v>
      </c>
      <c r="B142" s="129" t="n">
        <f aca="false">+'Vigilante 44h Arm'!$D$33</f>
        <v>0</v>
      </c>
      <c r="C142" s="260"/>
    </row>
    <row r="143" customFormat="false" ht="12.75" hidden="false" customHeight="false" outlineLevel="0" collapsed="false">
      <c r="A143" s="319" t="s">
        <v>228</v>
      </c>
      <c r="B143" s="129" t="n">
        <f aca="false">+'Vigilante 44h Arm'!$D$34</f>
        <v>0</v>
      </c>
      <c r="C143" s="260"/>
    </row>
    <row r="144" customFormat="false" ht="12.75" hidden="false" customHeight="false" outlineLevel="0" collapsed="false">
      <c r="A144" s="309" t="s">
        <v>391</v>
      </c>
      <c r="B144" s="310" t="n">
        <f aca="false">SUM(B140:B143)</f>
        <v>0</v>
      </c>
      <c r="C144" s="260"/>
    </row>
    <row r="145" customFormat="false" ht="12.75" hidden="false" customHeight="false" outlineLevel="0" collapsed="false">
      <c r="A145" s="76" t="s">
        <v>392</v>
      </c>
      <c r="B145" s="225" t="n">
        <v>0.4</v>
      </c>
      <c r="C145" s="260"/>
    </row>
    <row r="146" customFormat="false" ht="12.75" hidden="false" customHeight="false" outlineLevel="0" collapsed="false">
      <c r="A146" s="76" t="s">
        <v>393</v>
      </c>
      <c r="B146" s="225" t="n">
        <f aca="false">+'Vigilante 44h Arm'!$C$46</f>
        <v>0.08</v>
      </c>
      <c r="C146" s="260"/>
    </row>
    <row r="147" customFormat="false" ht="12.75" hidden="false" customHeight="false" outlineLevel="0" collapsed="false">
      <c r="A147" s="270" t="s">
        <v>394</v>
      </c>
      <c r="B147" s="270"/>
      <c r="C147" s="271" t="n">
        <f aca="false">ROUND(+B144*B145*B146*B139,2)</f>
        <v>0</v>
      </c>
    </row>
    <row r="148" customFormat="false" ht="12.75" hidden="false" customHeight="false" outlineLevel="0" collapsed="false">
      <c r="A148" s="76" t="s">
        <v>395</v>
      </c>
      <c r="B148" s="225" t="n">
        <v>0.1</v>
      </c>
      <c r="C148" s="260"/>
    </row>
    <row r="149" customFormat="false" ht="12.75" hidden="false" customHeight="false" outlineLevel="0" collapsed="false">
      <c r="A149" s="270" t="s">
        <v>396</v>
      </c>
      <c r="B149" s="270"/>
      <c r="C149" s="320" t="n">
        <f aca="false">ROUND(B148*B146*B144*B139,2)</f>
        <v>0</v>
      </c>
    </row>
    <row r="150" customFormat="false" ht="12.75" hidden="false" customHeight="false" outlineLevel="0" collapsed="false">
      <c r="A150" s="268" t="s">
        <v>397</v>
      </c>
      <c r="B150" s="268"/>
      <c r="C150" s="272" t="n">
        <f aca="false">+C149+C147</f>
        <v>0</v>
      </c>
    </row>
    <row r="152" customFormat="false" ht="12.75" hidden="false" customHeight="false" outlineLevel="0" collapsed="false">
      <c r="A152" s="285" t="s">
        <v>398</v>
      </c>
      <c r="B152" s="285"/>
      <c r="C152" s="285"/>
    </row>
    <row r="153" customFormat="false" ht="12.75" hidden="false" customHeight="false" outlineLevel="0" collapsed="false">
      <c r="A153" s="128" t="s">
        <v>384</v>
      </c>
      <c r="B153" s="129" t="n">
        <f aca="false">+B7</f>
        <v>0</v>
      </c>
      <c r="C153" s="260"/>
    </row>
    <row r="154" customFormat="false" ht="12.75" hidden="false" customHeight="false" outlineLevel="0" collapsed="false">
      <c r="A154" s="128" t="s">
        <v>399</v>
      </c>
      <c r="B154" s="321" t="n">
        <v>30</v>
      </c>
      <c r="C154" s="260"/>
    </row>
    <row r="155" customFormat="false" ht="12.75" hidden="false" customHeight="false" outlineLevel="0" collapsed="false">
      <c r="A155" s="128" t="s">
        <v>385</v>
      </c>
      <c r="B155" s="128" t="n">
        <v>12</v>
      </c>
      <c r="C155" s="260"/>
    </row>
    <row r="156" customFormat="false" ht="12.75" hidden="false" customHeight="false" outlineLevel="0" collapsed="false">
      <c r="A156" s="128" t="s">
        <v>400</v>
      </c>
      <c r="B156" s="128" t="n">
        <v>5</v>
      </c>
      <c r="C156" s="260"/>
    </row>
    <row r="157" customFormat="false" ht="12.75" hidden="false" customHeight="false" outlineLevel="0" collapsed="false">
      <c r="A157" s="246" t="s">
        <v>401</v>
      </c>
      <c r="B157" s="274"/>
      <c r="C157" s="260"/>
    </row>
    <row r="158" customFormat="false" ht="12.75" hidden="false" customHeight="false" outlineLevel="0" collapsed="false">
      <c r="A158" s="268" t="s">
        <v>402</v>
      </c>
      <c r="B158" s="268"/>
      <c r="C158" s="288" t="n">
        <f aca="false">+ROUND(((B153/B154/B155)*B156)*B157,2)</f>
        <v>0</v>
      </c>
    </row>
    <row r="160" customFormat="false" ht="12.75" hidden="false" customHeight="true" outlineLevel="0" collapsed="false">
      <c r="A160" s="317" t="s">
        <v>403</v>
      </c>
      <c r="B160" s="317"/>
      <c r="C160" s="317"/>
    </row>
    <row r="161" customFormat="false" ht="12.75" hidden="false" customHeight="false" outlineLevel="0" collapsed="false">
      <c r="A161" s="318" t="s">
        <v>404</v>
      </c>
      <c r="B161" s="274" t="n">
        <f aca="false">+B157</f>
        <v>0</v>
      </c>
      <c r="C161" s="260"/>
    </row>
    <row r="162" customFormat="false" ht="12.75" hidden="false" customHeight="false" outlineLevel="0" collapsed="false">
      <c r="A162" s="128" t="s">
        <v>390</v>
      </c>
      <c r="B162" s="129" t="n">
        <f aca="false">+'Vigilante 44h Arm'!$D$25</f>
        <v>0</v>
      </c>
      <c r="C162" s="260"/>
    </row>
    <row r="163" customFormat="false" ht="12.75" hidden="false" customHeight="false" outlineLevel="0" collapsed="false">
      <c r="A163" s="128" t="s">
        <v>223</v>
      </c>
      <c r="B163" s="129" t="n">
        <f aca="false">+'Vigilante 44h Arm'!$D$31</f>
        <v>0</v>
      </c>
      <c r="C163" s="260"/>
    </row>
    <row r="164" customFormat="false" ht="12.75" hidden="false" customHeight="false" outlineLevel="0" collapsed="false">
      <c r="A164" s="319" t="s">
        <v>226</v>
      </c>
      <c r="B164" s="129" t="n">
        <f aca="false">+'Vigilante 44h Arm'!$D$33</f>
        <v>0</v>
      </c>
      <c r="C164" s="260"/>
    </row>
    <row r="165" customFormat="false" ht="12.75" hidden="false" customHeight="false" outlineLevel="0" collapsed="false">
      <c r="A165" s="319" t="s">
        <v>228</v>
      </c>
      <c r="B165" s="129" t="n">
        <f aca="false">+'Vigilante 44h Arm'!$D$34</f>
        <v>0</v>
      </c>
      <c r="C165" s="260"/>
    </row>
    <row r="166" customFormat="false" ht="12.75" hidden="false" customHeight="false" outlineLevel="0" collapsed="false">
      <c r="A166" s="309" t="s">
        <v>391</v>
      </c>
      <c r="B166" s="310" t="n">
        <f aca="false">SUM(B162:B165)</f>
        <v>0</v>
      </c>
      <c r="C166" s="260"/>
    </row>
    <row r="167" customFormat="false" ht="12.75" hidden="false" customHeight="false" outlineLevel="0" collapsed="false">
      <c r="A167" s="76" t="s">
        <v>392</v>
      </c>
      <c r="B167" s="225" t="n">
        <v>0.4</v>
      </c>
      <c r="C167" s="260"/>
    </row>
    <row r="168" customFormat="false" ht="12.75" hidden="false" customHeight="false" outlineLevel="0" collapsed="false">
      <c r="A168" s="76" t="s">
        <v>393</v>
      </c>
      <c r="B168" s="225" t="n">
        <f aca="false">+'Vigilante 44h Arm'!$C$46</f>
        <v>0.08</v>
      </c>
      <c r="C168" s="260"/>
    </row>
    <row r="169" customFormat="false" ht="12.75" hidden="false" customHeight="false" outlineLevel="0" collapsed="false">
      <c r="A169" s="270" t="s">
        <v>394</v>
      </c>
      <c r="B169" s="270"/>
      <c r="C169" s="271" t="n">
        <f aca="false">ROUND(+B166*B167*B168*B161,2)</f>
        <v>0</v>
      </c>
    </row>
    <row r="170" customFormat="false" ht="12.75" hidden="false" customHeight="false" outlineLevel="0" collapsed="false">
      <c r="A170" s="76" t="s">
        <v>395</v>
      </c>
      <c r="B170" s="225" t="n">
        <v>0.1</v>
      </c>
      <c r="C170" s="260"/>
    </row>
    <row r="171" customFormat="false" ht="12.75" hidden="false" customHeight="false" outlineLevel="0" collapsed="false">
      <c r="A171" s="270" t="s">
        <v>396</v>
      </c>
      <c r="B171" s="270"/>
      <c r="C171" s="320" t="n">
        <f aca="false">ROUND(B170*B168*B166*B161,2)</f>
        <v>0</v>
      </c>
    </row>
    <row r="172" customFormat="false" ht="12.75" hidden="false" customHeight="false" outlineLevel="0" collapsed="false">
      <c r="A172" s="268" t="s">
        <v>405</v>
      </c>
      <c r="B172" s="268"/>
      <c r="C172" s="272" t="n">
        <f aca="false">+C171+C169</f>
        <v>0</v>
      </c>
    </row>
    <row r="174" customFormat="false" ht="12.75" hidden="false" customHeight="true" outlineLevel="0" collapsed="false">
      <c r="A174" s="317" t="s">
        <v>406</v>
      </c>
      <c r="B174" s="317"/>
      <c r="C174" s="317"/>
    </row>
    <row r="175" customFormat="false" ht="14.25" hidden="false" customHeight="true" outlineLevel="0" collapsed="false">
      <c r="A175" s="322" t="s">
        <v>407</v>
      </c>
      <c r="B175" s="322"/>
      <c r="C175" s="322"/>
    </row>
    <row r="176" customFormat="false" ht="12.75" hidden="false" customHeight="false" outlineLevel="0" collapsed="false">
      <c r="A176" s="322"/>
      <c r="B176" s="322"/>
      <c r="C176" s="322"/>
    </row>
    <row r="177" customFormat="false" ht="12.75" hidden="false" customHeight="false" outlineLevel="0" collapsed="false">
      <c r="A177" s="322"/>
      <c r="B177" s="322"/>
      <c r="C177" s="322"/>
    </row>
    <row r="178" customFormat="false" ht="12.75" hidden="false" customHeight="false" outlineLevel="0" collapsed="false">
      <c r="A178" s="322"/>
      <c r="B178" s="322"/>
      <c r="C178" s="322"/>
    </row>
    <row r="179" customFormat="false" ht="12.75" hidden="false" customHeight="false" outlineLevel="0" collapsed="false">
      <c r="A179" s="323"/>
      <c r="B179" s="323"/>
      <c r="C179" s="323"/>
    </row>
    <row r="180" customFormat="false" ht="12.75" hidden="false" customHeight="true" outlineLevel="0" collapsed="false">
      <c r="A180" s="317" t="s">
        <v>408</v>
      </c>
      <c r="B180" s="317"/>
      <c r="C180" s="317"/>
    </row>
    <row r="181" customFormat="false" ht="12.75" hidden="false" customHeight="false" outlineLevel="0" collapsed="false">
      <c r="A181" s="128" t="s">
        <v>409</v>
      </c>
      <c r="B181" s="129" t="n">
        <f aca="false">+$B$7</f>
        <v>0</v>
      </c>
      <c r="C181" s="260"/>
    </row>
    <row r="182" customFormat="false" ht="12.75" hidden="false" customHeight="false" outlineLevel="0" collapsed="false">
      <c r="A182" s="128" t="s">
        <v>349</v>
      </c>
      <c r="B182" s="128" t="n">
        <v>30</v>
      </c>
      <c r="C182" s="260"/>
    </row>
    <row r="183" customFormat="false" ht="12.75" hidden="false" customHeight="false" outlineLevel="0" collapsed="false">
      <c r="A183" s="128" t="s">
        <v>410</v>
      </c>
      <c r="B183" s="128" t="n">
        <v>12</v>
      </c>
      <c r="C183" s="260"/>
    </row>
    <row r="184" customFormat="false" ht="12.75" hidden="false" customHeight="false" outlineLevel="0" collapsed="false">
      <c r="A184" s="246" t="s">
        <v>411</v>
      </c>
      <c r="B184" s="246"/>
      <c r="C184" s="260"/>
    </row>
    <row r="185" customFormat="false" ht="12.75" hidden="false" customHeight="false" outlineLevel="0" collapsed="false">
      <c r="A185" s="268" t="s">
        <v>412</v>
      </c>
      <c r="B185" s="268"/>
      <c r="C185" s="253" t="n">
        <f aca="false">+ROUND((B181/B182/B183)*B184,2)</f>
        <v>0</v>
      </c>
    </row>
    <row r="187" customFormat="false" ht="12.75" hidden="false" customHeight="true" outlineLevel="0" collapsed="false">
      <c r="A187" s="317" t="s">
        <v>413</v>
      </c>
      <c r="B187" s="317"/>
      <c r="C187" s="317"/>
    </row>
    <row r="188" customFormat="false" ht="12.75" hidden="false" customHeight="false" outlineLevel="0" collapsed="false">
      <c r="A188" s="128" t="s">
        <v>409</v>
      </c>
      <c r="B188" s="129" t="n">
        <f aca="false">+$B$7</f>
        <v>0</v>
      </c>
      <c r="C188" s="260"/>
    </row>
    <row r="189" customFormat="false" ht="12.75" hidden="false" customHeight="false" outlineLevel="0" collapsed="false">
      <c r="A189" s="128" t="s">
        <v>349</v>
      </c>
      <c r="B189" s="128" t="n">
        <v>30</v>
      </c>
      <c r="C189" s="260"/>
    </row>
    <row r="190" customFormat="false" ht="12.75" hidden="false" customHeight="false" outlineLevel="0" collapsed="false">
      <c r="A190" s="128" t="s">
        <v>410</v>
      </c>
      <c r="B190" s="128" t="n">
        <v>12</v>
      </c>
      <c r="C190" s="260"/>
    </row>
    <row r="191" customFormat="false" ht="12.75" hidden="false" customHeight="false" outlineLevel="0" collapsed="false">
      <c r="A191" s="110" t="s">
        <v>414</v>
      </c>
      <c r="B191" s="128" t="n">
        <v>5</v>
      </c>
      <c r="C191" s="260"/>
    </row>
    <row r="192" customFormat="false" ht="12.75" hidden="false" customHeight="false" outlineLevel="0" collapsed="false">
      <c r="A192" s="246" t="s">
        <v>415</v>
      </c>
      <c r="B192" s="274"/>
      <c r="C192" s="260"/>
    </row>
    <row r="193" customFormat="false" ht="12.75" hidden="false" customHeight="false" outlineLevel="0" collapsed="false">
      <c r="A193" s="246" t="s">
        <v>416</v>
      </c>
      <c r="B193" s="274"/>
      <c r="C193" s="260"/>
    </row>
    <row r="194" customFormat="false" ht="12.75" hidden="false" customHeight="false" outlineLevel="0" collapsed="false">
      <c r="A194" s="268" t="s">
        <v>417</v>
      </c>
      <c r="B194" s="268"/>
      <c r="C194" s="288" t="n">
        <f aca="false">ROUND(+B188/B189/B190*B191*B192*B193,2)</f>
        <v>0</v>
      </c>
    </row>
    <row r="196" customFormat="false" ht="12.75" hidden="false" customHeight="true" outlineLevel="0" collapsed="false">
      <c r="A196" s="317" t="s">
        <v>418</v>
      </c>
      <c r="B196" s="317"/>
      <c r="C196" s="317"/>
    </row>
    <row r="197" customFormat="false" ht="12.75" hidden="false" customHeight="false" outlineLevel="0" collapsed="false">
      <c r="A197" s="128" t="s">
        <v>409</v>
      </c>
      <c r="B197" s="129" t="n">
        <f aca="false">+$B$7</f>
        <v>0</v>
      </c>
      <c r="C197" s="260"/>
    </row>
    <row r="198" customFormat="false" ht="12.75" hidden="false" customHeight="false" outlineLevel="0" collapsed="false">
      <c r="A198" s="128" t="s">
        <v>349</v>
      </c>
      <c r="B198" s="128" t="n">
        <v>30</v>
      </c>
      <c r="C198" s="260"/>
    </row>
    <row r="199" customFormat="false" ht="12.75" hidden="false" customHeight="false" outlineLevel="0" collapsed="false">
      <c r="A199" s="128" t="s">
        <v>410</v>
      </c>
      <c r="B199" s="128" t="n">
        <v>12</v>
      </c>
      <c r="C199" s="260"/>
    </row>
    <row r="200" customFormat="false" ht="12.75" hidden="false" customHeight="false" outlineLevel="0" collapsed="false">
      <c r="A200" s="110" t="s">
        <v>419</v>
      </c>
      <c r="B200" s="128" t="n">
        <v>15</v>
      </c>
      <c r="C200" s="260"/>
    </row>
    <row r="201" customFormat="false" ht="12.75" hidden="false" customHeight="false" outlineLevel="0" collapsed="false">
      <c r="A201" s="246" t="s">
        <v>420</v>
      </c>
      <c r="B201" s="274"/>
      <c r="C201" s="260"/>
    </row>
    <row r="202" customFormat="false" ht="12.75" hidden="false" customHeight="false" outlineLevel="0" collapsed="false">
      <c r="A202" s="268" t="s">
        <v>421</v>
      </c>
      <c r="B202" s="268"/>
      <c r="C202" s="288" t="n">
        <f aca="false">ROUND(+B197/B198/B199*B200*B201,2)</f>
        <v>0</v>
      </c>
    </row>
    <row r="204" customFormat="false" ht="12.75" hidden="false" customHeight="true" outlineLevel="0" collapsed="false">
      <c r="A204" s="317" t="s">
        <v>422</v>
      </c>
      <c r="B204" s="317"/>
      <c r="C204" s="317"/>
    </row>
    <row r="205" customFormat="false" ht="12.75" hidden="false" customHeight="false" outlineLevel="0" collapsed="false">
      <c r="A205" s="128" t="s">
        <v>409</v>
      </c>
      <c r="B205" s="129" t="n">
        <f aca="false">+$B$7</f>
        <v>0</v>
      </c>
      <c r="C205" s="260"/>
    </row>
    <row r="206" customFormat="false" ht="12.75" hidden="false" customHeight="false" outlineLevel="0" collapsed="false">
      <c r="A206" s="128" t="s">
        <v>349</v>
      </c>
      <c r="B206" s="128" t="n">
        <v>30</v>
      </c>
      <c r="C206" s="260"/>
    </row>
    <row r="207" customFormat="false" ht="12.75" hidden="false" customHeight="false" outlineLevel="0" collapsed="false">
      <c r="A207" s="128" t="s">
        <v>410</v>
      </c>
      <c r="B207" s="128" t="n">
        <v>12</v>
      </c>
      <c r="C207" s="260"/>
    </row>
    <row r="208" customFormat="false" ht="12.75" hidden="false" customHeight="false" outlineLevel="0" collapsed="false">
      <c r="A208" s="110" t="s">
        <v>419</v>
      </c>
      <c r="B208" s="128" t="n">
        <v>5</v>
      </c>
      <c r="C208" s="260"/>
    </row>
    <row r="209" customFormat="false" ht="12.75" hidden="false" customHeight="false" outlineLevel="0" collapsed="false">
      <c r="A209" s="246" t="s">
        <v>423</v>
      </c>
      <c r="B209" s="274"/>
      <c r="C209" s="260"/>
    </row>
    <row r="210" customFormat="false" ht="12.75" hidden="false" customHeight="false" outlineLevel="0" collapsed="false">
      <c r="A210" s="268" t="s">
        <v>424</v>
      </c>
      <c r="B210" s="268"/>
      <c r="C210" s="288" t="n">
        <f aca="false">ROUND(+B205/B206/B207*B208*B209,2)</f>
        <v>0</v>
      </c>
    </row>
    <row r="212" customFormat="false" ht="12.75" hidden="false" customHeight="false" outlineLevel="0" collapsed="false">
      <c r="A212" s="285" t="s">
        <v>425</v>
      </c>
      <c r="B212" s="285"/>
      <c r="C212" s="285"/>
    </row>
    <row r="213" customFormat="false" ht="12.75" hidden="false" customHeight="false" outlineLevel="0" collapsed="false">
      <c r="A213" s="324" t="s">
        <v>197</v>
      </c>
      <c r="B213" s="325"/>
      <c r="C213" s="129" t="n">
        <f aca="false">+'Vigilante 44h Arm'!D25-'Vigilante 44h Arm'!D22</f>
        <v>0</v>
      </c>
    </row>
    <row r="214" customFormat="false" ht="12.75" hidden="false" customHeight="false" outlineLevel="0" collapsed="false">
      <c r="A214" s="324" t="s">
        <v>256</v>
      </c>
      <c r="B214" s="325"/>
      <c r="C214" s="129" t="n">
        <f aca="false">+'Vigilante 44h Arm'!D70</f>
        <v>0</v>
      </c>
    </row>
    <row r="215" customFormat="false" ht="12.75" hidden="false" customHeight="false" outlineLevel="0" collapsed="false">
      <c r="A215" s="324" t="s">
        <v>287</v>
      </c>
      <c r="B215" s="325"/>
      <c r="C215" s="129" t="n">
        <f aca="false">+'Vigilante 44h Arm'!D118</f>
        <v>0</v>
      </c>
    </row>
    <row r="216" customFormat="false" ht="12.75" hidden="false" customHeight="false" outlineLevel="0" collapsed="false">
      <c r="A216" s="324" t="s">
        <v>268</v>
      </c>
      <c r="B216" s="325"/>
      <c r="C216" s="129" t="n">
        <f aca="false">+'Vigilante 44h Arm'!D109</f>
        <v>0</v>
      </c>
    </row>
    <row r="217" customFormat="false" ht="12.75" hidden="false" customHeight="false" outlineLevel="0" collapsed="false">
      <c r="A217" s="324" t="s">
        <v>276</v>
      </c>
      <c r="B217" s="325"/>
      <c r="C217" s="129" t="n">
        <f aca="false">+'Vigilante 44h Arm'!D110</f>
        <v>0</v>
      </c>
    </row>
    <row r="218" customFormat="false" ht="12.75" hidden="false" customHeight="false" outlineLevel="0" collapsed="false">
      <c r="A218" s="324" t="s">
        <v>258</v>
      </c>
      <c r="B218" s="325"/>
      <c r="C218" s="129" t="n">
        <f aca="false">+'Vigilante 44h Arm'!D81</f>
        <v>0</v>
      </c>
    </row>
    <row r="219" customFormat="false" ht="12.75" hidden="false" customHeight="false" outlineLevel="0" collapsed="false">
      <c r="A219" s="324" t="s">
        <v>337</v>
      </c>
      <c r="B219" s="325"/>
      <c r="C219" s="129" t="n">
        <f aca="false">SUM(C213:C218)</f>
        <v>0</v>
      </c>
    </row>
    <row r="220" customFormat="false" ht="12.75" hidden="false" customHeight="false" outlineLevel="0" collapsed="false">
      <c r="A220" s="324" t="s">
        <v>332</v>
      </c>
      <c r="B220" s="326" t="n">
        <v>220</v>
      </c>
      <c r="C220" s="327"/>
    </row>
    <row r="221" customFormat="false" ht="12.75" hidden="false" customHeight="false" outlineLevel="0" collapsed="false">
      <c r="A221" s="324" t="s">
        <v>338</v>
      </c>
      <c r="B221" s="325"/>
      <c r="C221" s="129" t="n">
        <f aca="false">ROUND(C219/B220,2)</f>
        <v>0</v>
      </c>
    </row>
    <row r="222" customFormat="false" ht="12.75" hidden="false" customHeight="false" outlineLevel="0" collapsed="false">
      <c r="A222" s="128" t="s">
        <v>426</v>
      </c>
      <c r="B222" s="295" t="n">
        <f aca="false">+B5</f>
        <v>21.7410714285714</v>
      </c>
      <c r="C222" s="304"/>
    </row>
    <row r="223" customFormat="false" ht="12.75" hidden="false" customHeight="false" outlineLevel="0" collapsed="false">
      <c r="A223" s="268" t="s">
        <v>356</v>
      </c>
      <c r="B223" s="268"/>
      <c r="C223" s="272" t="n">
        <f aca="false">ROUND(+B222*C221,2)</f>
        <v>0</v>
      </c>
    </row>
    <row r="225" customFormat="false" ht="12.75" hidden="false" customHeight="true" outlineLevel="0" collapsed="false">
      <c r="A225" s="317" t="s">
        <v>427</v>
      </c>
      <c r="B225" s="317"/>
      <c r="C225" s="317"/>
    </row>
    <row r="226" customFormat="false" ht="12.75" hidden="false" customHeight="true" outlineLevel="0" collapsed="false">
      <c r="A226" s="328" t="s">
        <v>428</v>
      </c>
      <c r="B226" s="328"/>
      <c r="C226" s="328"/>
    </row>
    <row r="227" customFormat="false" ht="12.75" hidden="false" customHeight="false" outlineLevel="0" collapsed="false">
      <c r="A227" s="128" t="s">
        <v>409</v>
      </c>
      <c r="B227" s="129" t="n">
        <f aca="false">+$B$7</f>
        <v>0</v>
      </c>
      <c r="C227" s="260"/>
    </row>
    <row r="228" customFormat="false" ht="12.75" hidden="false" customHeight="false" outlineLevel="0" collapsed="false">
      <c r="A228" s="128" t="s">
        <v>429</v>
      </c>
      <c r="B228" s="129" t="n">
        <f aca="false">+B227*(1/3)</f>
        <v>0</v>
      </c>
      <c r="C228" s="260"/>
    </row>
    <row r="229" customFormat="false" ht="12.75" hidden="false" customHeight="false" outlineLevel="0" collapsed="false">
      <c r="A229" s="309" t="s">
        <v>391</v>
      </c>
      <c r="B229" s="310" t="n">
        <f aca="false">SUM(B227:B228)</f>
        <v>0</v>
      </c>
      <c r="C229" s="260"/>
    </row>
    <row r="230" customFormat="false" ht="12.75" hidden="false" customHeight="false" outlineLevel="0" collapsed="false">
      <c r="A230" s="128" t="s">
        <v>430</v>
      </c>
      <c r="B230" s="128" t="n">
        <v>4</v>
      </c>
      <c r="C230" s="260"/>
    </row>
    <row r="231" customFormat="false" ht="12.75" hidden="false" customHeight="false" outlineLevel="0" collapsed="false">
      <c r="A231" s="128" t="s">
        <v>410</v>
      </c>
      <c r="B231" s="128" t="n">
        <v>12</v>
      </c>
      <c r="C231" s="260"/>
    </row>
    <row r="232" customFormat="false" ht="12.75" hidden="false" customHeight="false" outlineLevel="0" collapsed="false">
      <c r="A232" s="246" t="s">
        <v>431</v>
      </c>
      <c r="B232" s="274"/>
      <c r="C232" s="260"/>
    </row>
    <row r="233" customFormat="false" ht="12.75" hidden="false" customHeight="false" outlineLevel="0" collapsed="false">
      <c r="A233" s="246" t="s">
        <v>432</v>
      </c>
      <c r="B233" s="274"/>
      <c r="C233" s="260"/>
    </row>
    <row r="234" customFormat="false" ht="12.75" hidden="false" customHeight="false" outlineLevel="0" collapsed="false">
      <c r="A234" s="268" t="s">
        <v>433</v>
      </c>
      <c r="B234" s="268"/>
      <c r="C234" s="288" t="n">
        <f aca="false">ROUND((((+B229*(B230/B231)/B231)*B232)*B233),2)</f>
        <v>0</v>
      </c>
    </row>
    <row r="235" customFormat="false" ht="12.75" hidden="false" customHeight="false" outlineLevel="0" collapsed="false">
      <c r="A235" s="268" t="s">
        <v>434</v>
      </c>
      <c r="B235" s="268"/>
      <c r="C235" s="268"/>
    </row>
    <row r="236" customFormat="false" ht="12.75" hidden="false" customHeight="false" outlineLevel="0" collapsed="false">
      <c r="A236" s="128" t="s">
        <v>409</v>
      </c>
      <c r="B236" s="129" t="n">
        <f aca="false">+'Vigilante 44h Arm'!D25</f>
        <v>0</v>
      </c>
      <c r="C236" s="260"/>
    </row>
    <row r="237" customFormat="false" ht="12.75" hidden="false" customHeight="false" outlineLevel="0" collapsed="false">
      <c r="A237" s="128" t="s">
        <v>223</v>
      </c>
      <c r="B237" s="129" t="n">
        <f aca="false">+'Vigilante 44h Arm'!D31</f>
        <v>0</v>
      </c>
      <c r="C237" s="260"/>
    </row>
    <row r="238" customFormat="false" ht="12.75" hidden="false" customHeight="false" outlineLevel="0" collapsed="false">
      <c r="A238" s="309" t="s">
        <v>391</v>
      </c>
      <c r="B238" s="310" t="n">
        <f aca="false">SUM(B236:B237)</f>
        <v>0</v>
      </c>
      <c r="C238" s="260"/>
    </row>
    <row r="239" customFormat="false" ht="12.75" hidden="false" customHeight="false" outlineLevel="0" collapsed="false">
      <c r="A239" s="128" t="s">
        <v>430</v>
      </c>
      <c r="B239" s="128" t="n">
        <v>4</v>
      </c>
      <c r="C239" s="260"/>
    </row>
    <row r="240" customFormat="false" ht="12.75" hidden="false" customHeight="false" outlineLevel="0" collapsed="false">
      <c r="A240" s="128" t="s">
        <v>410</v>
      </c>
      <c r="B240" s="128" t="n">
        <v>12</v>
      </c>
      <c r="C240" s="260"/>
    </row>
    <row r="241" customFormat="false" ht="12.75" hidden="false" customHeight="false" outlineLevel="0" collapsed="false">
      <c r="A241" s="246" t="s">
        <v>431</v>
      </c>
      <c r="B241" s="274"/>
      <c r="C241" s="260"/>
    </row>
    <row r="242" customFormat="false" ht="12.75" hidden="false" customHeight="false" outlineLevel="0" collapsed="false">
      <c r="A242" s="246" t="s">
        <v>432</v>
      </c>
      <c r="B242" s="274"/>
      <c r="C242" s="260"/>
    </row>
    <row r="243" customFormat="false" ht="12.75" hidden="false" customHeight="false" outlineLevel="0" collapsed="false">
      <c r="A243" s="110" t="s">
        <v>435</v>
      </c>
      <c r="B243" s="225" t="n">
        <f aca="false">+'Vigilante 44h Arm'!C47</f>
        <v>0.368</v>
      </c>
      <c r="C243" s="260"/>
    </row>
    <row r="244" customFormat="false" ht="12.75" hidden="false" customHeight="false" outlineLevel="0" collapsed="false">
      <c r="A244" s="268" t="s">
        <v>436</v>
      </c>
      <c r="B244" s="268"/>
      <c r="C244" s="272" t="n">
        <f aca="false">ROUND((((B238*(B239/B240)*B241)*B242)*B243),2)</f>
        <v>0</v>
      </c>
    </row>
  </sheetData>
  <mergeCells count="45">
    <mergeCell ref="A1:C1"/>
    <mergeCell ref="A9:C9"/>
    <mergeCell ref="A26:B26"/>
    <mergeCell ref="A28:C28"/>
    <mergeCell ref="A39:C39"/>
    <mergeCell ref="A52:C52"/>
    <mergeCell ref="A65:B65"/>
    <mergeCell ref="A67:C67"/>
    <mergeCell ref="A80:B80"/>
    <mergeCell ref="A82:C82"/>
    <mergeCell ref="A93:C93"/>
    <mergeCell ref="A112:B112"/>
    <mergeCell ref="A114:C114"/>
    <mergeCell ref="A121:B121"/>
    <mergeCell ref="A123:C123"/>
    <mergeCell ref="A130:B130"/>
    <mergeCell ref="A132:C132"/>
    <mergeCell ref="A136:B136"/>
    <mergeCell ref="A138:C138"/>
    <mergeCell ref="A147:B147"/>
    <mergeCell ref="A149:B149"/>
    <mergeCell ref="A150:B150"/>
    <mergeCell ref="A152:C152"/>
    <mergeCell ref="A158:B158"/>
    <mergeCell ref="A160:C160"/>
    <mergeCell ref="A169:B169"/>
    <mergeCell ref="A171:B171"/>
    <mergeCell ref="A172:B172"/>
    <mergeCell ref="A174:C174"/>
    <mergeCell ref="A175:C178"/>
    <mergeCell ref="A180:C180"/>
    <mergeCell ref="A185:B185"/>
    <mergeCell ref="A187:C187"/>
    <mergeCell ref="A194:B194"/>
    <mergeCell ref="A196:C196"/>
    <mergeCell ref="A202:B202"/>
    <mergeCell ref="A204:C204"/>
    <mergeCell ref="A210:B210"/>
    <mergeCell ref="A212:C212"/>
    <mergeCell ref="A223:B223"/>
    <mergeCell ref="A225:C225"/>
    <mergeCell ref="A226:C226"/>
    <mergeCell ref="A234:B234"/>
    <mergeCell ref="A235:C235"/>
    <mergeCell ref="A244:B244"/>
  </mergeCells>
  <printOptions headings="false" gridLines="false" gridLinesSet="true" horizontalCentered="false" verticalCentered="false"/>
  <pageMargins left="0.905555555555556" right="0.118055555555556" top="0.354166666666667" bottom="0.590972222222222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1" manualBreakCount="1">
    <brk id="195" man="true" max="16383" min="0"/>
  </rowBreaks>
</worksheet>
</file>

<file path=xl/worksheets/sheet18.xml><?xml version="1.0" encoding="utf-8"?>
<worksheet xmlns="http://schemas.openxmlformats.org/spreadsheetml/2006/main" xmlns:r="http://schemas.openxmlformats.org/officeDocument/2006/relationships">
  <sheetPr filterMode="false">
    <tabColor rgb="FFE46C0A"/>
    <pageSetUpPr fitToPage="false"/>
  </sheetPr>
  <dimension ref="A1:F17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0" activeCellId="0" sqref="A20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1.75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3" customFormat="false" ht="12.75" hidden="false" customHeight="false" outlineLevel="0" collapsed="false">
      <c r="A3" s="205" t="s">
        <v>188</v>
      </c>
      <c r="B3" s="205"/>
      <c r="C3" s="205"/>
      <c r="D3" s="205"/>
    </row>
    <row r="4" s="19" customFormat="true" ht="28.5" hidden="false" customHeight="true" outlineLevel="0" collapsed="false">
      <c r="A4" s="357" t="n">
        <v>1</v>
      </c>
      <c r="B4" s="358" t="s">
        <v>189</v>
      </c>
      <c r="C4" s="359" t="s">
        <v>458</v>
      </c>
      <c r="D4" s="359"/>
    </row>
    <row r="5" s="19" customFormat="true" ht="12.75" hidden="false" customHeight="false" outlineLevel="0" collapsed="false">
      <c r="A5" s="357" t="n">
        <v>2</v>
      </c>
      <c r="B5" s="358" t="s">
        <v>191</v>
      </c>
      <c r="C5" s="360" t="s">
        <v>24</v>
      </c>
      <c r="D5" s="360"/>
    </row>
    <row r="6" s="19" customFormat="true" ht="12.75" hidden="false" customHeight="false" outlineLevel="0" collapsed="false">
      <c r="A6" s="357" t="n">
        <v>3</v>
      </c>
      <c r="B6" s="358" t="s">
        <v>192</v>
      </c>
      <c r="C6" s="210"/>
      <c r="D6" s="210"/>
    </row>
    <row r="7" s="19" customFormat="true" ht="42.75" hidden="false" customHeight="true" outlineLevel="0" collapsed="false">
      <c r="A7" s="357" t="n">
        <v>4</v>
      </c>
      <c r="B7" s="358" t="s">
        <v>193</v>
      </c>
      <c r="C7" s="361" t="s">
        <v>194</v>
      </c>
      <c r="D7" s="361"/>
    </row>
    <row r="8" s="19" customFormat="true" ht="12.75" hidden="false" customHeight="false" outlineLevel="0" collapsed="false">
      <c r="A8" s="357" t="n">
        <v>5</v>
      </c>
      <c r="B8" s="358" t="s">
        <v>195</v>
      </c>
      <c r="C8" s="362" t="n">
        <v>42795</v>
      </c>
      <c r="D8" s="362"/>
    </row>
    <row r="9" customFormat="false" ht="12.75" hidden="false" customHeight="false" outlineLevel="0" collapsed="false">
      <c r="D9" s="213"/>
    </row>
    <row r="10" customFormat="false" ht="12.75" hidden="false" customHeight="false" outlineLevel="0" collapsed="false">
      <c r="A10" s="214" t="s">
        <v>196</v>
      </c>
      <c r="B10" s="214"/>
      <c r="C10" s="214"/>
      <c r="D10" s="214"/>
    </row>
    <row r="11" customFormat="false" ht="12.75" hidden="false" customHeight="false" outlineLevel="0" collapsed="false">
      <c r="A11" s="215" t="n">
        <v>1</v>
      </c>
      <c r="B11" s="216" t="s">
        <v>197</v>
      </c>
      <c r="C11" s="17" t="s">
        <v>198</v>
      </c>
      <c r="D11" s="217" t="s">
        <v>199</v>
      </c>
    </row>
    <row r="12" customFormat="false" ht="12.75" hidden="false" customHeight="false" outlineLevel="0" collapsed="false">
      <c r="A12" s="10" t="s">
        <v>14</v>
      </c>
      <c r="B12" s="10" t="s">
        <v>200</v>
      </c>
      <c r="C12" s="10"/>
      <c r="D12" s="29" t="n">
        <f aca="false">+C6</f>
        <v>0</v>
      </c>
    </row>
    <row r="13" customFormat="false" ht="12.75" hidden="false" customHeight="false" outlineLevel="0" collapsed="false">
      <c r="A13" s="10" t="s">
        <v>16</v>
      </c>
      <c r="B13" s="218" t="s">
        <v>201</v>
      </c>
      <c r="C13" s="219" t="n">
        <v>0.3</v>
      </c>
      <c r="D13" s="29" t="n">
        <f aca="false">+C13*D12</f>
        <v>0</v>
      </c>
      <c r="E13" s="103"/>
    </row>
    <row r="14" customFormat="false" ht="12.75" hidden="false" customHeight="false" outlineLevel="0" collapsed="false">
      <c r="A14" s="10" t="s">
        <v>19</v>
      </c>
      <c r="B14" s="218" t="s">
        <v>202</v>
      </c>
      <c r="C14" s="219"/>
      <c r="D14" s="29"/>
    </row>
    <row r="15" customFormat="false" ht="12.75" hidden="false" customHeight="false" outlineLevel="0" collapsed="false">
      <c r="A15" s="10" t="s">
        <v>21</v>
      </c>
      <c r="B15" s="10" t="s">
        <v>203</v>
      </c>
      <c r="C15" s="10"/>
      <c r="D15" s="29"/>
    </row>
    <row r="16" customFormat="false" ht="12.75" hidden="false" customHeight="false" outlineLevel="0" collapsed="false">
      <c r="A16" s="10" t="s">
        <v>204</v>
      </c>
      <c r="B16" s="10" t="s">
        <v>205</v>
      </c>
      <c r="C16" s="10"/>
      <c r="D16" s="29"/>
    </row>
    <row r="17" customFormat="false" ht="12.75" hidden="false" customHeight="false" outlineLevel="0" collapsed="false">
      <c r="A17" s="10" t="s">
        <v>206</v>
      </c>
      <c r="B17" s="10" t="s">
        <v>207</v>
      </c>
      <c r="C17" s="10"/>
      <c r="D17" s="29"/>
    </row>
    <row r="18" customFormat="false" ht="12.75" hidden="false" customHeight="false" outlineLevel="0" collapsed="false">
      <c r="A18" s="10" t="s">
        <v>208</v>
      </c>
      <c r="B18" s="10" t="s">
        <v>209</v>
      </c>
      <c r="C18" s="10"/>
      <c r="D18" s="29"/>
    </row>
    <row r="19" customFormat="false" ht="12.75" hidden="false" customHeight="false" outlineLevel="0" collapsed="false">
      <c r="A19" s="10" t="s">
        <v>210</v>
      </c>
      <c r="B19" s="10" t="s">
        <v>211</v>
      </c>
      <c r="C19" s="10"/>
      <c r="D19" s="29"/>
    </row>
    <row r="20" customFormat="false" ht="12.75" hidden="false" customHeight="false" outlineLevel="0" collapsed="false">
      <c r="A20" s="10" t="s">
        <v>212</v>
      </c>
      <c r="B20" s="218" t="s">
        <v>213</v>
      </c>
      <c r="C20" s="219"/>
      <c r="D20" s="29"/>
    </row>
    <row r="21" customFormat="false" ht="12.75" hidden="false" customHeight="false" outlineLevel="0" collapsed="false">
      <c r="A21" s="10" t="s">
        <v>214</v>
      </c>
      <c r="B21" s="10" t="s">
        <v>215</v>
      </c>
      <c r="C21" s="10"/>
      <c r="D21" s="78"/>
      <c r="F21" s="220"/>
    </row>
    <row r="22" customFormat="false" ht="12.75" hidden="false" customHeight="false" outlineLevel="0" collapsed="false">
      <c r="A22" s="10" t="s">
        <v>216</v>
      </c>
      <c r="B22" s="10" t="s">
        <v>217</v>
      </c>
      <c r="C22" s="10"/>
      <c r="D22" s="78"/>
    </row>
    <row r="23" customFormat="false" ht="12.75" hidden="false" customHeight="false" outlineLevel="0" collapsed="false">
      <c r="A23" s="205" t="s">
        <v>218</v>
      </c>
      <c r="B23" s="205"/>
      <c r="C23" s="205"/>
      <c r="D23" s="27" t="n">
        <f aca="false">SUM(D12:D22)</f>
        <v>0</v>
      </c>
    </row>
    <row r="25" customFormat="false" ht="12.75" hidden="false" customHeight="false" outlineLevel="0" collapsed="false">
      <c r="A25" s="214" t="s">
        <v>219</v>
      </c>
      <c r="B25" s="214"/>
      <c r="C25" s="214"/>
      <c r="D25" s="214"/>
    </row>
    <row r="27" customFormat="false" ht="12.75" hidden="false" customHeight="false" outlineLevel="0" collapsed="false">
      <c r="A27" s="214" t="s">
        <v>220</v>
      </c>
      <c r="B27" s="214"/>
      <c r="C27" s="214"/>
      <c r="D27" s="214"/>
    </row>
    <row r="28" customFormat="false" ht="12.75" hidden="false" customHeight="false" outlineLevel="0" collapsed="false">
      <c r="A28" s="221" t="s">
        <v>221</v>
      </c>
      <c r="B28" s="222" t="s">
        <v>222</v>
      </c>
      <c r="C28" s="223" t="s">
        <v>198</v>
      </c>
      <c r="D28" s="224" t="s">
        <v>199</v>
      </c>
    </row>
    <row r="29" customFormat="false" ht="12.75" hidden="false" customHeight="false" outlineLevel="0" collapsed="false">
      <c r="A29" s="10" t="s">
        <v>14</v>
      </c>
      <c r="B29" s="128" t="s">
        <v>223</v>
      </c>
      <c r="C29" s="225" t="e">
        <f aca="false">ROUND(+D29/$D$23,4)</f>
        <v>#DIV/0!</v>
      </c>
      <c r="D29" s="78" t="n">
        <f aca="false">ROUND(+D23/12,2)</f>
        <v>0</v>
      </c>
    </row>
    <row r="30" customFormat="false" ht="12.75" hidden="false" customHeight="false" outlineLevel="0" collapsed="false">
      <c r="A30" s="226" t="s">
        <v>16</v>
      </c>
      <c r="B30" s="227" t="s">
        <v>224</v>
      </c>
      <c r="C30" s="228" t="e">
        <f aca="false">ROUND(+D30/$D$23,4)</f>
        <v>#DIV/0!</v>
      </c>
      <c r="D30" s="229" t="n">
        <f aca="false">+D31+D32</f>
        <v>0</v>
      </c>
    </row>
    <row r="31" customFormat="false" ht="12.75" hidden="false" customHeight="false" outlineLevel="0" collapsed="false">
      <c r="A31" s="10" t="s">
        <v>225</v>
      </c>
      <c r="B31" s="230" t="s">
        <v>226</v>
      </c>
      <c r="C31" s="231" t="e">
        <f aca="false">ROUND(+D31/$D$23,4)</f>
        <v>#DIV/0!</v>
      </c>
      <c r="D31" s="232" t="n">
        <f aca="false">ROUND(+D23/12,2)</f>
        <v>0</v>
      </c>
    </row>
    <row r="32" customFormat="false" ht="12.75" hidden="false" customHeight="false" outlineLevel="0" collapsed="false">
      <c r="A32" s="10" t="s">
        <v>227</v>
      </c>
      <c r="B32" s="230" t="s">
        <v>228</v>
      </c>
      <c r="C32" s="231" t="e">
        <f aca="false">ROUND(+D32/$D$23,4)</f>
        <v>#DIV/0!</v>
      </c>
      <c r="D32" s="232" t="n">
        <f aca="false">ROUND(+(D23*1/3)/12,2)</f>
        <v>0</v>
      </c>
    </row>
    <row r="33" customFormat="false" ht="12.75" hidden="false" customHeight="false" outlineLevel="0" collapsed="false">
      <c r="A33" s="205" t="s">
        <v>218</v>
      </c>
      <c r="B33" s="205"/>
      <c r="C33" s="205"/>
      <c r="D33" s="27" t="n">
        <f aca="false">+D30+D29</f>
        <v>0</v>
      </c>
    </row>
    <row r="35" customFormat="false" ht="12.75" hidden="false" customHeight="true" outlineLevel="0" collapsed="false">
      <c r="A35" s="233" t="s">
        <v>229</v>
      </c>
      <c r="B35" s="233"/>
      <c r="C35" s="233"/>
      <c r="D35" s="233"/>
    </row>
    <row r="36" customFormat="false" ht="12.75" hidden="false" customHeight="false" outlineLevel="0" collapsed="false">
      <c r="A36" s="221" t="s">
        <v>230</v>
      </c>
      <c r="B36" s="234" t="s">
        <v>231</v>
      </c>
      <c r="C36" s="223" t="s">
        <v>198</v>
      </c>
      <c r="D36" s="224" t="s">
        <v>199</v>
      </c>
    </row>
    <row r="37" customFormat="false" ht="12.75" hidden="false" customHeight="false" outlineLevel="0" collapsed="false">
      <c r="A37" s="10" t="s">
        <v>14</v>
      </c>
      <c r="B37" s="128" t="s">
        <v>232</v>
      </c>
      <c r="C37" s="225" t="n">
        <v>0.2</v>
      </c>
      <c r="D37" s="129" t="n">
        <f aca="false">ROUND(C37*($D$23+$D$33),2)</f>
        <v>0</v>
      </c>
    </row>
    <row r="38" customFormat="false" ht="12.75" hidden="false" customHeight="false" outlineLevel="0" collapsed="false">
      <c r="A38" s="10" t="s">
        <v>16</v>
      </c>
      <c r="B38" s="128" t="s">
        <v>233</v>
      </c>
      <c r="C38" s="225" t="n">
        <v>0.025</v>
      </c>
      <c r="D38" s="129" t="n">
        <f aca="false">ROUND(C38*($D$23+$D$33),2)</f>
        <v>0</v>
      </c>
    </row>
    <row r="39" customFormat="false" ht="12.75" hidden="false" customHeight="false" outlineLevel="0" collapsed="false">
      <c r="A39" s="10" t="s">
        <v>19</v>
      </c>
      <c r="B39" s="128" t="s">
        <v>234</v>
      </c>
      <c r="C39" s="225" t="n">
        <f aca="false">3%</f>
        <v>0.03</v>
      </c>
      <c r="D39" s="129" t="n">
        <f aca="false">ROUND(C39*($D$23+$D$33),2)</f>
        <v>0</v>
      </c>
    </row>
    <row r="40" customFormat="false" ht="12.75" hidden="false" customHeight="false" outlineLevel="0" collapsed="false">
      <c r="A40" s="10" t="s">
        <v>21</v>
      </c>
      <c r="B40" s="128" t="s">
        <v>235</v>
      </c>
      <c r="C40" s="225" t="n">
        <v>0.015</v>
      </c>
      <c r="D40" s="129" t="n">
        <f aca="false">ROUND(C40*($D$23+$D$33),2)</f>
        <v>0</v>
      </c>
    </row>
    <row r="41" customFormat="false" ht="12.75" hidden="false" customHeight="false" outlineLevel="0" collapsed="false">
      <c r="A41" s="10" t="s">
        <v>204</v>
      </c>
      <c r="B41" s="128" t="s">
        <v>236</v>
      </c>
      <c r="C41" s="225" t="n">
        <v>0.01</v>
      </c>
      <c r="D41" s="129" t="n">
        <f aca="false">ROUND(C41*($D$23+$D$33),2)</f>
        <v>0</v>
      </c>
    </row>
    <row r="42" customFormat="false" ht="12.75" hidden="false" customHeight="false" outlineLevel="0" collapsed="false">
      <c r="A42" s="10" t="s">
        <v>206</v>
      </c>
      <c r="B42" s="128" t="s">
        <v>237</v>
      </c>
      <c r="C42" s="225" t="n">
        <v>0.006</v>
      </c>
      <c r="D42" s="129" t="n">
        <f aca="false">ROUND(C42*($D$23+$D$33),2)</f>
        <v>0</v>
      </c>
    </row>
    <row r="43" customFormat="false" ht="12.75" hidden="false" customHeight="false" outlineLevel="0" collapsed="false">
      <c r="A43" s="10" t="s">
        <v>208</v>
      </c>
      <c r="B43" s="128" t="s">
        <v>238</v>
      </c>
      <c r="C43" s="225" t="n">
        <v>0.002</v>
      </c>
      <c r="D43" s="129" t="n">
        <f aca="false">ROUND(C43*($D$23+$D$33),2)</f>
        <v>0</v>
      </c>
    </row>
    <row r="44" customFormat="false" ht="12.75" hidden="false" customHeight="false" outlineLevel="0" collapsed="false">
      <c r="A44" s="10" t="s">
        <v>210</v>
      </c>
      <c r="B44" s="128" t="s">
        <v>239</v>
      </c>
      <c r="C44" s="225" t="n">
        <v>0.08</v>
      </c>
      <c r="D44" s="129" t="n">
        <f aca="false">ROUND(C44*($D$23+$D$33),2)</f>
        <v>0</v>
      </c>
    </row>
    <row r="45" customFormat="false" ht="12.75" hidden="false" customHeight="false" outlineLevel="0" collapsed="false">
      <c r="A45" s="235" t="s">
        <v>218</v>
      </c>
      <c r="B45" s="236"/>
      <c r="C45" s="237" t="n">
        <f aca="false">SUM(C37:C44)</f>
        <v>0.368</v>
      </c>
      <c r="D45" s="238" t="n">
        <f aca="false">SUM(D37:D44)</f>
        <v>0</v>
      </c>
    </row>
    <row r="46" customFormat="false" ht="12.75" hidden="false" customHeight="false" outlineLevel="0" collapsed="false">
      <c r="A46" s="239"/>
      <c r="B46" s="239"/>
      <c r="C46" s="239"/>
      <c r="D46" s="239"/>
    </row>
    <row r="47" customFormat="false" ht="12.75" hidden="false" customHeight="true" outlineLevel="0" collapsed="false">
      <c r="A47" s="233" t="s">
        <v>240</v>
      </c>
      <c r="B47" s="233"/>
      <c r="C47" s="233"/>
      <c r="D47" s="233"/>
    </row>
    <row r="48" customFormat="false" ht="12.75" hidden="false" customHeight="false" outlineLevel="0" collapsed="false">
      <c r="A48" s="221" t="s">
        <v>241</v>
      </c>
      <c r="B48" s="234" t="s">
        <v>242</v>
      </c>
      <c r="C48" s="223"/>
      <c r="D48" s="224" t="s">
        <v>199</v>
      </c>
    </row>
    <row r="49" customFormat="false" ht="12.75" hidden="false" customHeight="false" outlineLevel="0" collapsed="false">
      <c r="A49" s="240" t="s">
        <v>14</v>
      </c>
      <c r="B49" s="128" t="s">
        <v>243</v>
      </c>
      <c r="C49" s="241"/>
      <c r="D49" s="129" t="n">
        <f aca="false">+'Calculo 12 36 Diu Des'!C107</f>
        <v>0</v>
      </c>
    </row>
    <row r="50" s="34" customFormat="true" ht="12.75" hidden="false" customHeight="false" outlineLevel="0" collapsed="false">
      <c r="A50" s="242" t="s">
        <v>244</v>
      </c>
      <c r="B50" s="110" t="s">
        <v>245</v>
      </c>
      <c r="C50" s="225" t="n">
        <f aca="false">+$C$135+$C$136</f>
        <v>0.0365</v>
      </c>
      <c r="D50" s="243" t="n">
        <f aca="false">+(C50*D49)*-1</f>
        <v>0</v>
      </c>
      <c r="F50" s="116"/>
    </row>
    <row r="51" customFormat="false" ht="12.75" hidden="false" customHeight="false" outlineLevel="0" collapsed="false">
      <c r="A51" s="240" t="s">
        <v>16</v>
      </c>
      <c r="B51" s="128" t="s">
        <v>246</v>
      </c>
      <c r="C51" s="241"/>
      <c r="D51" s="129" t="n">
        <f aca="false">+'Calculo 12 36 Diu Des'!C116</f>
        <v>0</v>
      </c>
      <c r="F51" s="244"/>
    </row>
    <row r="52" s="34" customFormat="true" ht="12.75" hidden="false" customHeight="false" outlineLevel="0" collapsed="false">
      <c r="A52" s="242" t="s">
        <v>225</v>
      </c>
      <c r="B52" s="110" t="s">
        <v>245</v>
      </c>
      <c r="C52" s="225" t="n">
        <f aca="false">+$C$135+$C$136</f>
        <v>0.0365</v>
      </c>
      <c r="D52" s="243" t="n">
        <f aca="false">+(C52*D51)*-1</f>
        <v>0</v>
      </c>
      <c r="F52" s="245"/>
    </row>
    <row r="53" customFormat="false" ht="12.75" hidden="false" customHeight="false" outlineLevel="0" collapsed="false">
      <c r="A53" s="128" t="s">
        <v>19</v>
      </c>
      <c r="B53" s="128" t="s">
        <v>247</v>
      </c>
      <c r="C53" s="241"/>
      <c r="D53" s="129"/>
      <c r="F53" s="244"/>
    </row>
    <row r="54" customFormat="false" ht="12.75" hidden="false" customHeight="false" outlineLevel="0" collapsed="false">
      <c r="A54" s="242" t="s">
        <v>248</v>
      </c>
      <c r="B54" s="110" t="s">
        <v>245</v>
      </c>
      <c r="C54" s="225" t="n">
        <f aca="false">+$C$135+$C$136</f>
        <v>0.0365</v>
      </c>
      <c r="D54" s="243" t="n">
        <f aca="false">+(C54*D53)*-1</f>
        <v>0</v>
      </c>
      <c r="F54" s="244"/>
    </row>
    <row r="55" customFormat="false" ht="12.75" hidden="false" customHeight="false" outlineLevel="0" collapsed="false">
      <c r="A55" s="246" t="s">
        <v>21</v>
      </c>
      <c r="B55" s="246" t="s">
        <v>249</v>
      </c>
      <c r="C55" s="241"/>
      <c r="D55" s="247"/>
      <c r="F55" s="244"/>
    </row>
    <row r="56" customFormat="false" ht="12.75" hidden="false" customHeight="false" outlineLevel="0" collapsed="false">
      <c r="A56" s="242" t="s">
        <v>250</v>
      </c>
      <c r="B56" s="110" t="s">
        <v>245</v>
      </c>
      <c r="C56" s="225" t="n">
        <f aca="false">+$C$135+$C$136</f>
        <v>0.0365</v>
      </c>
      <c r="D56" s="243" t="n">
        <f aca="false">+(C56*D55)*-1</f>
        <v>0</v>
      </c>
      <c r="F56" s="244"/>
    </row>
    <row r="57" customFormat="false" ht="12.75" hidden="false" customHeight="false" outlineLevel="0" collapsed="false">
      <c r="A57" s="246" t="s">
        <v>204</v>
      </c>
      <c r="B57" s="246" t="s">
        <v>251</v>
      </c>
      <c r="C57" s="241"/>
      <c r="D57" s="248"/>
      <c r="F57" s="249"/>
    </row>
    <row r="58" customFormat="false" ht="12.75" hidden="false" customHeight="false" outlineLevel="0" collapsed="false">
      <c r="A58" s="242" t="s">
        <v>252</v>
      </c>
      <c r="B58" s="110" t="s">
        <v>245</v>
      </c>
      <c r="C58" s="225" t="n">
        <f aca="false">+$C$135+$C$136</f>
        <v>0.0365</v>
      </c>
      <c r="D58" s="243" t="n">
        <f aca="false">+(C58*D57)*-1</f>
        <v>0</v>
      </c>
    </row>
    <row r="59" customFormat="false" ht="12.75" hidden="false" customHeight="false" outlineLevel="0" collapsed="false">
      <c r="A59" s="246" t="s">
        <v>206</v>
      </c>
      <c r="B59" s="250" t="s">
        <v>253</v>
      </c>
      <c r="C59" s="250"/>
      <c r="D59" s="247"/>
    </row>
    <row r="60" customFormat="false" ht="12.75" hidden="false" customHeight="false" outlineLevel="0" collapsed="false">
      <c r="A60" s="242" t="s">
        <v>254</v>
      </c>
      <c r="B60" s="110" t="s">
        <v>245</v>
      </c>
      <c r="C60" s="225" t="n">
        <f aca="false">+$C$135+$C$136</f>
        <v>0.0365</v>
      </c>
      <c r="D60" s="243" t="n">
        <f aca="false">+(C60*D59)*-1</f>
        <v>0</v>
      </c>
    </row>
    <row r="61" customFormat="false" ht="12.75" hidden="false" customHeight="false" outlineLevel="0" collapsed="false">
      <c r="A61" s="205" t="s">
        <v>218</v>
      </c>
      <c r="B61" s="205"/>
      <c r="C61" s="251"/>
      <c r="D61" s="252" t="n">
        <f aca="false">SUM(D49:D60)</f>
        <v>0</v>
      </c>
    </row>
    <row r="63" customFormat="false" ht="12.75" hidden="false" customHeight="false" outlineLevel="0" collapsed="false">
      <c r="A63" s="214" t="s">
        <v>255</v>
      </c>
      <c r="B63" s="214"/>
      <c r="C63" s="214"/>
      <c r="D63" s="214"/>
    </row>
    <row r="64" customFormat="false" ht="12.75" hidden="false" customHeight="false" outlineLevel="0" collapsed="false">
      <c r="A64" s="253" t="n">
        <v>2</v>
      </c>
      <c r="B64" s="254" t="s">
        <v>256</v>
      </c>
      <c r="C64" s="254"/>
      <c r="D64" s="255" t="s">
        <v>199</v>
      </c>
    </row>
    <row r="65" customFormat="false" ht="12.75" hidden="false" customHeight="false" outlineLevel="0" collapsed="false">
      <c r="A65" s="76" t="s">
        <v>221</v>
      </c>
      <c r="B65" s="256" t="s">
        <v>222</v>
      </c>
      <c r="C65" s="256"/>
      <c r="D65" s="129" t="n">
        <f aca="false">+D33</f>
        <v>0</v>
      </c>
    </row>
    <row r="66" customFormat="false" ht="12.75" hidden="false" customHeight="false" outlineLevel="0" collapsed="false">
      <c r="A66" s="76" t="s">
        <v>230</v>
      </c>
      <c r="B66" s="256" t="s">
        <v>231</v>
      </c>
      <c r="C66" s="256"/>
      <c r="D66" s="129" t="n">
        <f aca="false">+D45</f>
        <v>0</v>
      </c>
    </row>
    <row r="67" customFormat="false" ht="12.75" hidden="false" customHeight="false" outlineLevel="0" collapsed="false">
      <c r="A67" s="76" t="s">
        <v>241</v>
      </c>
      <c r="B67" s="256" t="s">
        <v>242</v>
      </c>
      <c r="C67" s="256"/>
      <c r="D67" s="257" t="n">
        <f aca="false">+D61</f>
        <v>0</v>
      </c>
    </row>
    <row r="68" customFormat="false" ht="12.75" hidden="false" customHeight="false" outlineLevel="0" collapsed="false">
      <c r="A68" s="254" t="s">
        <v>218</v>
      </c>
      <c r="B68" s="254"/>
      <c r="C68" s="254"/>
      <c r="D68" s="258" t="n">
        <f aca="false">SUM(D65:D67)</f>
        <v>0</v>
      </c>
    </row>
    <row r="70" customFormat="false" ht="12.75" hidden="false" customHeight="false" outlineLevel="0" collapsed="false">
      <c r="A70" s="214" t="s">
        <v>257</v>
      </c>
      <c r="B70" s="214"/>
      <c r="C70" s="214"/>
      <c r="D70" s="214"/>
    </row>
    <row r="72" customFormat="false" ht="12.75" hidden="false" customHeight="false" outlineLevel="0" collapsed="false">
      <c r="A72" s="25" t="n">
        <v>3</v>
      </c>
      <c r="B72" s="222" t="s">
        <v>258</v>
      </c>
      <c r="C72" s="17" t="s">
        <v>198</v>
      </c>
      <c r="D72" s="17" t="s">
        <v>199</v>
      </c>
    </row>
    <row r="73" customFormat="false" ht="12.75" hidden="false" customHeight="false" outlineLevel="0" collapsed="false">
      <c r="A73" s="10" t="s">
        <v>14</v>
      </c>
      <c r="B73" s="110" t="s">
        <v>259</v>
      </c>
      <c r="C73" s="225" t="e">
        <f aca="false">+D73/$D$23</f>
        <v>#DIV/0!</v>
      </c>
      <c r="D73" s="259" t="n">
        <f aca="false">+'Calculo 12 36 Diu Des'!C122</f>
        <v>0</v>
      </c>
    </row>
    <row r="74" customFormat="false" ht="12.75" hidden="false" customHeight="false" outlineLevel="0" collapsed="false">
      <c r="A74" s="10" t="s">
        <v>16</v>
      </c>
      <c r="B74" s="128" t="s">
        <v>260</v>
      </c>
      <c r="C74" s="260"/>
      <c r="D74" s="78" t="n">
        <f aca="false">ROUND(+D73*$C$44,2)</f>
        <v>0</v>
      </c>
    </row>
    <row r="75" customFormat="false" ht="25.5" hidden="false" customHeight="false" outlineLevel="0" collapsed="false">
      <c r="A75" s="10" t="s">
        <v>19</v>
      </c>
      <c r="B75" s="261" t="s">
        <v>261</v>
      </c>
      <c r="C75" s="225" t="e">
        <f aca="false">+D75/$D$23</f>
        <v>#DIV/0!</v>
      </c>
      <c r="D75" s="78" t="n">
        <f aca="false">+'Calculo 12 36 Diu Des'!C136</f>
        <v>0</v>
      </c>
    </row>
    <row r="76" customFormat="false" ht="12.75" hidden="false" customHeight="false" outlineLevel="0" collapsed="false">
      <c r="A76" s="256" t="s">
        <v>21</v>
      </c>
      <c r="B76" s="128" t="s">
        <v>262</v>
      </c>
      <c r="C76" s="225" t="e">
        <f aca="false">+D76/$D$23</f>
        <v>#DIV/0!</v>
      </c>
      <c r="D76" s="78" t="n">
        <f aca="false">+'Calculo 12 36 Diu Des'!C144</f>
        <v>0</v>
      </c>
    </row>
    <row r="77" customFormat="false" ht="25.5" hidden="false" customHeight="false" outlineLevel="0" collapsed="false">
      <c r="A77" s="256" t="s">
        <v>204</v>
      </c>
      <c r="B77" s="261" t="s">
        <v>263</v>
      </c>
      <c r="C77" s="260"/>
      <c r="D77" s="78" t="n">
        <f aca="false">+D76*C45</f>
        <v>0</v>
      </c>
    </row>
    <row r="78" customFormat="false" ht="25.5" hidden="false" customHeight="false" outlineLevel="0" collapsed="false">
      <c r="A78" s="256" t="s">
        <v>206</v>
      </c>
      <c r="B78" s="261" t="s">
        <v>264</v>
      </c>
      <c r="C78" s="225" t="e">
        <f aca="false">+D78/$D$23</f>
        <v>#DIV/0!</v>
      </c>
      <c r="D78" s="129" t="n">
        <f aca="false">+'Calculo 12 36 Diu Des'!C158</f>
        <v>0</v>
      </c>
    </row>
    <row r="79" customFormat="false" ht="12.75" hidden="false" customHeight="false" outlineLevel="0" collapsed="false">
      <c r="A79" s="205" t="s">
        <v>218</v>
      </c>
      <c r="B79" s="205"/>
      <c r="C79" s="205"/>
      <c r="D79" s="26" t="n">
        <f aca="false">SUM(D73:D78)</f>
        <v>0</v>
      </c>
    </row>
    <row r="81" customFormat="false" ht="12.75" hidden="false" customHeight="false" outlineLevel="0" collapsed="false">
      <c r="A81" s="214" t="s">
        <v>265</v>
      </c>
      <c r="B81" s="214"/>
      <c r="C81" s="214"/>
      <c r="D81" s="214"/>
    </row>
    <row r="83" customFormat="false" ht="12.75" hidden="false" customHeight="true" outlineLevel="0" collapsed="false">
      <c r="A83" s="262" t="s">
        <v>266</v>
      </c>
      <c r="B83" s="262"/>
      <c r="C83" s="262"/>
      <c r="D83" s="262"/>
    </row>
    <row r="84" customFormat="false" ht="12.75" hidden="false" customHeight="false" outlineLevel="0" collapsed="false">
      <c r="A84" s="25" t="s">
        <v>267</v>
      </c>
      <c r="B84" s="205" t="s">
        <v>268</v>
      </c>
      <c r="C84" s="205"/>
      <c r="D84" s="17" t="s">
        <v>199</v>
      </c>
    </row>
    <row r="85" customFormat="false" ht="12.75" hidden="false" customHeight="false" outlineLevel="0" collapsed="false">
      <c r="A85" s="128" t="s">
        <v>14</v>
      </c>
      <c r="B85" s="263" t="s">
        <v>269</v>
      </c>
      <c r="C85" s="263"/>
      <c r="D85" s="78"/>
    </row>
    <row r="86" customFormat="false" ht="12.75" hidden="false" customHeight="false" outlineLevel="0" collapsed="false">
      <c r="A86" s="110" t="s">
        <v>16</v>
      </c>
      <c r="B86" s="264" t="s">
        <v>268</v>
      </c>
      <c r="C86" s="264"/>
      <c r="D86" s="78" t="n">
        <f aca="false">+'Calculo 12 36 Diu Des'!C171</f>
        <v>0</v>
      </c>
    </row>
    <row r="87" s="34" customFormat="true" ht="12.75" hidden="false" customHeight="false" outlineLevel="0" collapsed="false">
      <c r="A87" s="110" t="s">
        <v>19</v>
      </c>
      <c r="B87" s="264" t="s">
        <v>270</v>
      </c>
      <c r="C87" s="264"/>
      <c r="D87" s="78" t="n">
        <f aca="false">+'Calculo 12 36 Diu Des'!C180</f>
        <v>0</v>
      </c>
    </row>
    <row r="88" s="34" customFormat="true" ht="12.75" hidden="false" customHeight="false" outlineLevel="0" collapsed="false">
      <c r="A88" s="110" t="s">
        <v>21</v>
      </c>
      <c r="B88" s="264" t="s">
        <v>271</v>
      </c>
      <c r="C88" s="264"/>
      <c r="D88" s="78" t="n">
        <f aca="false">+'Calculo 12 36 Diu Des'!C188</f>
        <v>0</v>
      </c>
    </row>
    <row r="89" s="34" customFormat="true" ht="13.5" hidden="false" customHeight="false" outlineLevel="0" collapsed="false">
      <c r="A89" s="110" t="s">
        <v>204</v>
      </c>
      <c r="B89" s="264" t="s">
        <v>272</v>
      </c>
      <c r="C89" s="264"/>
      <c r="D89" s="78"/>
    </row>
    <row r="90" s="34" customFormat="true" ht="12.75" hidden="false" customHeight="false" outlineLevel="0" collapsed="false">
      <c r="A90" s="110" t="s">
        <v>206</v>
      </c>
      <c r="B90" s="264" t="s">
        <v>273</v>
      </c>
      <c r="C90" s="264"/>
      <c r="D90" s="78" t="n">
        <f aca="false">+'Calculo 12 36 Diu Des'!C196</f>
        <v>0</v>
      </c>
    </row>
    <row r="91" customFormat="false" ht="12.75" hidden="false" customHeight="false" outlineLevel="0" collapsed="false">
      <c r="A91" s="128" t="s">
        <v>208</v>
      </c>
      <c r="B91" s="263" t="s">
        <v>217</v>
      </c>
      <c r="C91" s="263"/>
      <c r="D91" s="78"/>
    </row>
    <row r="92" customFormat="false" ht="12.75" hidden="false" customHeight="false" outlineLevel="0" collapsed="false">
      <c r="A92" s="128" t="s">
        <v>210</v>
      </c>
      <c r="B92" s="263" t="s">
        <v>274</v>
      </c>
      <c r="C92" s="263"/>
      <c r="D92" s="78" t="n">
        <f aca="false">ROUND((D86+D87+D88+D85+D89+D90+D91)*C45,2)</f>
        <v>0</v>
      </c>
    </row>
    <row r="93" customFormat="false" ht="12.75" hidden="false" customHeight="false" outlineLevel="0" collapsed="false">
      <c r="A93" s="205" t="s">
        <v>218</v>
      </c>
      <c r="B93" s="205"/>
      <c r="C93" s="205"/>
      <c r="D93" s="27" t="n">
        <f aca="false">SUM(D85:D92)</f>
        <v>0</v>
      </c>
    </row>
    <row r="94" customFormat="false" ht="12.75" hidden="false" customHeight="false" outlineLevel="0" collapsed="false">
      <c r="D94" s="245"/>
    </row>
    <row r="95" customFormat="false" ht="12.75" hidden="false" customHeight="false" outlineLevel="0" collapsed="false">
      <c r="A95" s="25" t="s">
        <v>275</v>
      </c>
      <c r="B95" s="205" t="s">
        <v>276</v>
      </c>
      <c r="C95" s="205"/>
      <c r="D95" s="17" t="s">
        <v>199</v>
      </c>
    </row>
    <row r="96" s="34" customFormat="true" ht="12.75" hidden="false" customHeight="false" outlineLevel="0" collapsed="false">
      <c r="A96" s="110" t="s">
        <v>14</v>
      </c>
      <c r="B96" s="256" t="s">
        <v>277</v>
      </c>
      <c r="C96" s="256"/>
      <c r="D96" s="78" t="n">
        <f aca="false">+'Calculo 12 36 Diu Des'!C220</f>
        <v>0</v>
      </c>
    </row>
    <row r="97" s="34" customFormat="true" ht="12.75" hidden="false" customHeight="true" outlineLevel="0" collapsed="false">
      <c r="A97" s="110" t="s">
        <v>16</v>
      </c>
      <c r="B97" s="265" t="s">
        <v>278</v>
      </c>
      <c r="C97" s="265"/>
      <c r="D97" s="78" t="n">
        <f aca="false">ROUND(D96*C45,2)</f>
        <v>0</v>
      </c>
    </row>
    <row r="98" s="34" customFormat="true" ht="12.75" hidden="false" customHeight="true" outlineLevel="0" collapsed="false">
      <c r="A98" s="110" t="s">
        <v>19</v>
      </c>
      <c r="B98" s="265" t="s">
        <v>279</v>
      </c>
      <c r="C98" s="265"/>
      <c r="D98" s="78" t="n">
        <f aca="false">+'Calculo 12 36 Diu Des'!C230</f>
        <v>0</v>
      </c>
    </row>
    <row r="99" customFormat="false" ht="12.75" hidden="false" customHeight="false" outlineLevel="0" collapsed="false">
      <c r="A99" s="128" t="s">
        <v>21</v>
      </c>
      <c r="B99" s="263" t="s">
        <v>217</v>
      </c>
      <c r="C99" s="263"/>
      <c r="D99" s="78"/>
    </row>
    <row r="100" customFormat="false" ht="12.75" hidden="false" customHeight="false" outlineLevel="0" collapsed="false">
      <c r="A100" s="205" t="s">
        <v>218</v>
      </c>
      <c r="B100" s="205"/>
      <c r="C100" s="205"/>
      <c r="D100" s="27" t="n">
        <f aca="false">SUM(D96:D99)</f>
        <v>0</v>
      </c>
    </row>
    <row r="101" customFormat="false" ht="12.75" hidden="false" customHeight="false" outlineLevel="0" collapsed="false">
      <c r="D101" s="245"/>
    </row>
    <row r="102" customFormat="false" ht="12.75" hidden="false" customHeight="false" outlineLevel="0" collapsed="false">
      <c r="A102" s="25" t="s">
        <v>280</v>
      </c>
      <c r="B102" s="205" t="s">
        <v>281</v>
      </c>
      <c r="C102" s="205"/>
      <c r="D102" s="17" t="s">
        <v>199</v>
      </c>
    </row>
    <row r="103" s="267" customFormat="true" ht="12.75" hidden="false" customHeight="true" outlineLevel="0" collapsed="false">
      <c r="A103" s="256" t="s">
        <v>14</v>
      </c>
      <c r="B103" s="265" t="s">
        <v>282</v>
      </c>
      <c r="C103" s="265"/>
      <c r="D103" s="266" t="n">
        <f aca="false">+'Calculo 12 36 Diu Des'!C209</f>
        <v>0</v>
      </c>
    </row>
    <row r="104" customFormat="false" ht="12.75" hidden="false" customHeight="false" outlineLevel="0" collapsed="false">
      <c r="A104" s="205" t="s">
        <v>218</v>
      </c>
      <c r="B104" s="205"/>
      <c r="C104" s="205"/>
      <c r="D104" s="27" t="n">
        <f aca="false">SUM(D103:D103)</f>
        <v>0</v>
      </c>
    </row>
    <row r="106" customFormat="false" ht="12.75" hidden="false" customHeight="false" outlineLevel="0" collapsed="false">
      <c r="A106" s="268" t="s">
        <v>283</v>
      </c>
      <c r="B106" s="268"/>
      <c r="C106" s="268"/>
      <c r="D106" s="268"/>
    </row>
    <row r="107" customFormat="false" ht="12.75" hidden="false" customHeight="false" outlineLevel="0" collapsed="false">
      <c r="A107" s="128" t="s">
        <v>267</v>
      </c>
      <c r="B107" s="263" t="s">
        <v>268</v>
      </c>
      <c r="C107" s="263"/>
      <c r="D107" s="129" t="n">
        <f aca="false">+D93</f>
        <v>0</v>
      </c>
    </row>
    <row r="108" customFormat="false" ht="12.75" hidden="false" customHeight="false" outlineLevel="0" collapsed="false">
      <c r="A108" s="128" t="s">
        <v>275</v>
      </c>
      <c r="B108" s="263" t="s">
        <v>276</v>
      </c>
      <c r="C108" s="263"/>
      <c r="D108" s="129" t="n">
        <f aca="false">+D100</f>
        <v>0</v>
      </c>
    </row>
    <row r="109" customFormat="false" ht="12.75" hidden="false" customHeight="false" outlineLevel="0" collapsed="false">
      <c r="A109" s="269"/>
      <c r="B109" s="270" t="s">
        <v>284</v>
      </c>
      <c r="C109" s="270"/>
      <c r="D109" s="271" t="n">
        <f aca="false">+D108+D107</f>
        <v>0</v>
      </c>
    </row>
    <row r="110" customFormat="false" ht="12.75" hidden="false" customHeight="false" outlineLevel="0" collapsed="false">
      <c r="A110" s="128" t="s">
        <v>280</v>
      </c>
      <c r="B110" s="263" t="s">
        <v>281</v>
      </c>
      <c r="C110" s="263"/>
      <c r="D110" s="129" t="n">
        <f aca="false">+D104</f>
        <v>0</v>
      </c>
    </row>
    <row r="111" customFormat="false" ht="12.75" hidden="false" customHeight="false" outlineLevel="0" collapsed="false">
      <c r="A111" s="268" t="s">
        <v>218</v>
      </c>
      <c r="B111" s="268"/>
      <c r="C111" s="268"/>
      <c r="D111" s="272" t="n">
        <f aca="false">+D110+D109</f>
        <v>0</v>
      </c>
    </row>
    <row r="113" customFormat="false" ht="12.75" hidden="false" customHeight="false" outlineLevel="0" collapsed="false">
      <c r="A113" s="214" t="s">
        <v>285</v>
      </c>
      <c r="B113" s="214"/>
      <c r="C113" s="214"/>
      <c r="D113" s="214"/>
    </row>
    <row r="115" customFormat="false" ht="12.75" hidden="false" customHeight="false" outlineLevel="0" collapsed="false">
      <c r="A115" s="25" t="n">
        <v>5</v>
      </c>
      <c r="B115" s="205" t="s">
        <v>286</v>
      </c>
      <c r="C115" s="205"/>
      <c r="D115" s="17" t="s">
        <v>199</v>
      </c>
    </row>
    <row r="116" customFormat="false" ht="12.75" hidden="false" customHeight="false" outlineLevel="0" collapsed="false">
      <c r="A116" s="128" t="s">
        <v>14</v>
      </c>
      <c r="B116" s="10" t="s">
        <v>287</v>
      </c>
      <c r="C116" s="10"/>
      <c r="D116" s="78" t="n">
        <f aca="false">+Uniforme!G117</f>
        <v>0</v>
      </c>
    </row>
    <row r="117" customFormat="false" ht="12.75" hidden="false" customHeight="false" outlineLevel="0" collapsed="false">
      <c r="A117" s="128" t="s">
        <v>244</v>
      </c>
      <c r="B117" s="110" t="s">
        <v>245</v>
      </c>
      <c r="C117" s="225" t="n">
        <f aca="false">+$C$135+$C$136</f>
        <v>0.0365</v>
      </c>
      <c r="D117" s="243" t="n">
        <f aca="false">+(C117*D116)*-1</f>
        <v>0</v>
      </c>
    </row>
    <row r="118" customFormat="false" ht="12.75" hidden="false" customHeight="false" outlineLevel="0" collapsed="false">
      <c r="A118" s="128" t="s">
        <v>16</v>
      </c>
      <c r="B118" s="10" t="s">
        <v>288</v>
      </c>
      <c r="C118" s="10"/>
      <c r="D118" s="78"/>
    </row>
    <row r="119" customFormat="false" ht="12.75" hidden="false" customHeight="false" outlineLevel="0" collapsed="false">
      <c r="A119" s="128" t="s">
        <v>225</v>
      </c>
      <c r="B119" s="110" t="s">
        <v>245</v>
      </c>
      <c r="C119" s="225" t="n">
        <f aca="false">+$C$135+$C$136</f>
        <v>0.0365</v>
      </c>
      <c r="D119" s="243" t="n">
        <f aca="false">+(C119*D118)*-1</f>
        <v>0</v>
      </c>
    </row>
    <row r="120" customFormat="false" ht="12.75" hidden="false" customHeight="false" outlineLevel="0" collapsed="false">
      <c r="A120" s="128" t="s">
        <v>19</v>
      </c>
      <c r="B120" s="10" t="s">
        <v>289</v>
      </c>
      <c r="C120" s="10"/>
      <c r="D120" s="78" t="n">
        <f aca="false">+Uniforme!F124</f>
        <v>0</v>
      </c>
    </row>
    <row r="121" customFormat="false" ht="12.75" hidden="false" customHeight="false" outlineLevel="0" collapsed="false">
      <c r="A121" s="128" t="s">
        <v>248</v>
      </c>
      <c r="B121" s="110" t="s">
        <v>245</v>
      </c>
      <c r="C121" s="225" t="n">
        <f aca="false">+$C$135+$C$136</f>
        <v>0.0365</v>
      </c>
      <c r="D121" s="243" t="n">
        <f aca="false">+(C121*D120)*-1</f>
        <v>0</v>
      </c>
    </row>
    <row r="122" customFormat="false" ht="12.75" hidden="false" customHeight="false" outlineLevel="0" collapsed="false">
      <c r="A122" s="128" t="s">
        <v>21</v>
      </c>
      <c r="B122" s="10" t="s">
        <v>217</v>
      </c>
      <c r="C122" s="10"/>
      <c r="D122" s="78"/>
    </row>
    <row r="123" customFormat="false" ht="12.75" hidden="false" customHeight="false" outlineLevel="0" collapsed="false">
      <c r="A123" s="128" t="s">
        <v>250</v>
      </c>
      <c r="B123" s="110" t="s">
        <v>245</v>
      </c>
      <c r="C123" s="225" t="n">
        <f aca="false">+$C$135+$C$136</f>
        <v>0.0365</v>
      </c>
      <c r="D123" s="243" t="n">
        <f aca="false">+(C123*D122)*-1</f>
        <v>0</v>
      </c>
    </row>
    <row r="124" customFormat="false" ht="12.75" hidden="false" customHeight="false" outlineLevel="0" collapsed="false">
      <c r="A124" s="205" t="s">
        <v>218</v>
      </c>
      <c r="B124" s="205"/>
      <c r="C124" s="205"/>
      <c r="D124" s="27" t="n">
        <f aca="false">SUM(D116:D122)</f>
        <v>0</v>
      </c>
    </row>
    <row r="126" customFormat="false" ht="12.75" hidden="false" customHeight="false" outlineLevel="0" collapsed="false">
      <c r="A126" s="214" t="s">
        <v>290</v>
      </c>
      <c r="B126" s="214"/>
      <c r="C126" s="214"/>
      <c r="D126" s="214"/>
    </row>
    <row r="128" customFormat="false" ht="12.75" hidden="false" customHeight="false" outlineLevel="0" collapsed="false">
      <c r="A128" s="25" t="n">
        <v>6</v>
      </c>
      <c r="B128" s="222" t="s">
        <v>291</v>
      </c>
      <c r="C128" s="273" t="s">
        <v>198</v>
      </c>
      <c r="D128" s="17" t="s">
        <v>199</v>
      </c>
    </row>
    <row r="129" customFormat="false" ht="12.75" hidden="false" customHeight="false" outlineLevel="0" collapsed="false">
      <c r="A129" s="246" t="s">
        <v>14</v>
      </c>
      <c r="B129" s="246" t="s">
        <v>292</v>
      </c>
      <c r="C129" s="274" t="n">
        <v>0.03</v>
      </c>
      <c r="D129" s="247" t="n">
        <f aca="false">($D$124+$D$111+$D$79+$D$68+$D$23)*C129</f>
        <v>0</v>
      </c>
    </row>
    <row r="130" customFormat="false" ht="12.75" hidden="false" customHeight="false" outlineLevel="0" collapsed="false">
      <c r="A130" s="246" t="s">
        <v>16</v>
      </c>
      <c r="B130" s="246" t="s">
        <v>293</v>
      </c>
      <c r="C130" s="274" t="n">
        <v>0.03</v>
      </c>
      <c r="D130" s="247" t="n">
        <f aca="false">($D$124+$D$111+$D$79+$D$68+$D$23+D129)*C130</f>
        <v>0</v>
      </c>
    </row>
    <row r="131" s="277" customFormat="true" ht="12.75" hidden="false" customHeight="false" outlineLevel="0" collapsed="false">
      <c r="A131" s="275" t="s">
        <v>294</v>
      </c>
      <c r="B131" s="275"/>
      <c r="C131" s="275"/>
      <c r="D131" s="276" t="n">
        <f aca="false">++D130+D129+D124+D111+D79+D68+D23</f>
        <v>0</v>
      </c>
    </row>
    <row r="132" s="277" customFormat="true" ht="12.75" hidden="false" customHeight="true" outlineLevel="0" collapsed="false">
      <c r="A132" s="278" t="s">
        <v>295</v>
      </c>
      <c r="B132" s="278"/>
      <c r="C132" s="278"/>
      <c r="D132" s="276" t="n">
        <f aca="false">ROUND(D131/(1-(C135+C136+C138+C140+C141)),2)</f>
        <v>0</v>
      </c>
    </row>
    <row r="133" customFormat="false" ht="12.75" hidden="false" customHeight="false" outlineLevel="0" collapsed="false">
      <c r="A133" s="128" t="s">
        <v>19</v>
      </c>
      <c r="B133" s="128" t="s">
        <v>296</v>
      </c>
      <c r="C133" s="225"/>
      <c r="D133" s="128"/>
    </row>
    <row r="134" customFormat="false" ht="12.75" hidden="false" customHeight="false" outlineLevel="0" collapsed="false">
      <c r="A134" s="128" t="s">
        <v>248</v>
      </c>
      <c r="B134" s="128" t="s">
        <v>297</v>
      </c>
      <c r="C134" s="225"/>
      <c r="D134" s="128"/>
    </row>
    <row r="135" customFormat="false" ht="12.75" hidden="false" customHeight="false" outlineLevel="0" collapsed="false">
      <c r="A135" s="246" t="s">
        <v>298</v>
      </c>
      <c r="B135" s="246" t="s">
        <v>299</v>
      </c>
      <c r="C135" s="274" t="n">
        <v>0.0065</v>
      </c>
      <c r="D135" s="247" t="n">
        <f aca="false">ROUND(C135*$D$132,2)</f>
        <v>0</v>
      </c>
    </row>
    <row r="136" customFormat="false" ht="12.75" hidden="false" customHeight="false" outlineLevel="0" collapsed="false">
      <c r="A136" s="246" t="s">
        <v>300</v>
      </c>
      <c r="B136" s="246" t="s">
        <v>301</v>
      </c>
      <c r="C136" s="274" t="n">
        <v>0.03</v>
      </c>
      <c r="D136" s="247" t="n">
        <f aca="false">ROUND(C136*$D$132,2)</f>
        <v>0</v>
      </c>
    </row>
    <row r="137" customFormat="false" ht="12.75" hidden="false" customHeight="false" outlineLevel="0" collapsed="false">
      <c r="A137" s="128" t="s">
        <v>302</v>
      </c>
      <c r="B137" s="128" t="s">
        <v>303</v>
      </c>
      <c r="C137" s="225"/>
      <c r="D137" s="129"/>
    </row>
    <row r="138" customFormat="false" ht="12.75" hidden="false" customHeight="false" outlineLevel="0" collapsed="false">
      <c r="A138" s="128" t="s">
        <v>304</v>
      </c>
      <c r="B138" s="128" t="s">
        <v>305</v>
      </c>
      <c r="C138" s="225"/>
      <c r="D138" s="128"/>
    </row>
    <row r="139" customFormat="false" ht="12.75" hidden="false" customHeight="false" outlineLevel="0" collapsed="false">
      <c r="A139" s="128" t="s">
        <v>306</v>
      </c>
      <c r="B139" s="128" t="s">
        <v>307</v>
      </c>
      <c r="C139" s="225"/>
      <c r="D139" s="128"/>
    </row>
    <row r="140" customFormat="false" ht="12.75" hidden="false" customHeight="false" outlineLevel="0" collapsed="false">
      <c r="A140" s="246" t="s">
        <v>308</v>
      </c>
      <c r="B140" s="246" t="s">
        <v>309</v>
      </c>
      <c r="C140" s="274" t="n">
        <v>0.05</v>
      </c>
      <c r="D140" s="247" t="n">
        <f aca="false">ROUND(C140*$D$132,2)</f>
        <v>0</v>
      </c>
    </row>
    <row r="141" customFormat="false" ht="12.75" hidden="false" customHeight="false" outlineLevel="0" collapsed="false">
      <c r="A141" s="128" t="s">
        <v>310</v>
      </c>
      <c r="B141" s="128" t="s">
        <v>311</v>
      </c>
      <c r="C141" s="225"/>
      <c r="D141" s="128"/>
    </row>
    <row r="142" customFormat="false" ht="12.75" hidden="false" customHeight="false" outlineLevel="0" collapsed="false">
      <c r="A142" s="235" t="s">
        <v>218</v>
      </c>
      <c r="B142" s="235"/>
      <c r="C142" s="279" t="n">
        <f aca="false">+C141+C140+C138+C136+C135+C130+C129</f>
        <v>0.1465</v>
      </c>
      <c r="D142" s="27" t="n">
        <f aca="false">+D140+D138+D136+D135+D130+D129</f>
        <v>0</v>
      </c>
    </row>
    <row r="144" customFormat="false" ht="12.75" hidden="false" customHeight="false" outlineLevel="0" collapsed="false">
      <c r="A144" s="280" t="s">
        <v>312</v>
      </c>
      <c r="B144" s="280"/>
      <c r="C144" s="280"/>
      <c r="D144" s="280"/>
    </row>
    <row r="145" customFormat="false" ht="12.75" hidden="false" customHeight="false" outlineLevel="0" collapsed="false">
      <c r="A145" s="128" t="s">
        <v>14</v>
      </c>
      <c r="B145" s="263" t="s">
        <v>313</v>
      </c>
      <c r="C145" s="263"/>
      <c r="D145" s="78" t="n">
        <f aca="false">+D23</f>
        <v>0</v>
      </c>
    </row>
    <row r="146" customFormat="false" ht="12.75" hidden="false" customHeight="false" outlineLevel="0" collapsed="false">
      <c r="A146" s="128" t="s">
        <v>314</v>
      </c>
      <c r="B146" s="263" t="s">
        <v>315</v>
      </c>
      <c r="C146" s="263"/>
      <c r="D146" s="78" t="n">
        <f aca="false">+D68</f>
        <v>0</v>
      </c>
    </row>
    <row r="147" customFormat="false" ht="12.75" hidden="false" customHeight="false" outlineLevel="0" collapsed="false">
      <c r="A147" s="128" t="s">
        <v>19</v>
      </c>
      <c r="B147" s="263" t="s">
        <v>316</v>
      </c>
      <c r="C147" s="263"/>
      <c r="D147" s="78" t="n">
        <f aca="false">+D79</f>
        <v>0</v>
      </c>
    </row>
    <row r="148" customFormat="false" ht="12.75" hidden="false" customHeight="false" outlineLevel="0" collapsed="false">
      <c r="A148" s="128" t="s">
        <v>21</v>
      </c>
      <c r="B148" s="263" t="s">
        <v>317</v>
      </c>
      <c r="C148" s="263"/>
      <c r="D148" s="78" t="n">
        <f aca="false">+D111</f>
        <v>0</v>
      </c>
    </row>
    <row r="149" customFormat="false" ht="12.75" hidden="false" customHeight="false" outlineLevel="0" collapsed="false">
      <c r="A149" s="128" t="s">
        <v>204</v>
      </c>
      <c r="B149" s="263" t="s">
        <v>318</v>
      </c>
      <c r="C149" s="263"/>
      <c r="D149" s="78" t="n">
        <f aca="false">+D124</f>
        <v>0</v>
      </c>
    </row>
    <row r="150" customFormat="false" ht="12.75" hidden="false" customHeight="false" outlineLevel="0" collapsed="false">
      <c r="B150" s="281" t="s">
        <v>319</v>
      </c>
      <c r="C150" s="281"/>
      <c r="D150" s="282" t="n">
        <f aca="false">SUM(D145:D149)</f>
        <v>0</v>
      </c>
    </row>
    <row r="151" customFormat="false" ht="12.75" hidden="false" customHeight="false" outlineLevel="0" collapsed="false">
      <c r="A151" s="128" t="s">
        <v>206</v>
      </c>
      <c r="B151" s="263" t="s">
        <v>320</v>
      </c>
      <c r="C151" s="263"/>
      <c r="D151" s="78" t="n">
        <f aca="false">+D142</f>
        <v>0</v>
      </c>
    </row>
    <row r="153" customFormat="false" ht="12.75" hidden="false" customHeight="false" outlineLevel="0" collapsed="false">
      <c r="A153" s="283" t="s">
        <v>321</v>
      </c>
      <c r="B153" s="283"/>
      <c r="C153" s="283"/>
      <c r="D153" s="284" t="n">
        <f aca="false">ROUND(+D151+D150,2)</f>
        <v>0</v>
      </c>
    </row>
    <row r="155" customFormat="false" ht="12.75" hidden="false" customHeight="false" outlineLevel="0" collapsed="false">
      <c r="A155" s="285" t="s">
        <v>322</v>
      </c>
      <c r="B155" s="285"/>
      <c r="C155" s="285"/>
      <c r="D155" s="285"/>
    </row>
    <row r="157" customFormat="false" ht="12.75" hidden="false" customHeight="false" outlineLevel="0" collapsed="false">
      <c r="A157" s="128" t="s">
        <v>14</v>
      </c>
      <c r="B157" s="128" t="s">
        <v>223</v>
      </c>
      <c r="C157" s="286" t="e">
        <f aca="false">+C29</f>
        <v>#DIV/0!</v>
      </c>
      <c r="D157" s="78" t="n">
        <f aca="false">+D29</f>
        <v>0</v>
      </c>
    </row>
    <row r="158" customFormat="false" ht="12.75" hidden="false" customHeight="false" outlineLevel="0" collapsed="false">
      <c r="A158" s="128" t="s">
        <v>16</v>
      </c>
      <c r="B158" s="128" t="s">
        <v>226</v>
      </c>
      <c r="C158" s="286" t="e">
        <f aca="false">+C31</f>
        <v>#DIV/0!</v>
      </c>
      <c r="D158" s="78" t="n">
        <f aca="false">+D31</f>
        <v>0</v>
      </c>
    </row>
    <row r="159" customFormat="false" ht="12.75" hidden="false" customHeight="false" outlineLevel="0" collapsed="false">
      <c r="A159" s="128" t="s">
        <v>19</v>
      </c>
      <c r="B159" s="128" t="s">
        <v>228</v>
      </c>
      <c r="C159" s="286" t="e">
        <f aca="false">+C32</f>
        <v>#DIV/0!</v>
      </c>
      <c r="D159" s="78" t="n">
        <f aca="false">+D32</f>
        <v>0</v>
      </c>
    </row>
    <row r="160" customFormat="false" ht="25.5" hidden="false" customHeight="false" outlineLevel="0" collapsed="false">
      <c r="A160" s="128" t="s">
        <v>21</v>
      </c>
      <c r="B160" s="261" t="s">
        <v>261</v>
      </c>
      <c r="C160" s="225" t="e">
        <f aca="false">+C75</f>
        <v>#DIV/0!</v>
      </c>
      <c r="D160" s="78" t="n">
        <f aca="false">+D75</f>
        <v>0</v>
      </c>
    </row>
    <row r="161" customFormat="false" ht="25.5" hidden="false" customHeight="false" outlineLevel="0" collapsed="false">
      <c r="A161" s="128" t="s">
        <v>204</v>
      </c>
      <c r="B161" s="261" t="s">
        <v>264</v>
      </c>
      <c r="C161" s="286" t="e">
        <f aca="false">+C78</f>
        <v>#DIV/0!</v>
      </c>
      <c r="D161" s="129" t="n">
        <f aca="false">+D78</f>
        <v>0</v>
      </c>
    </row>
    <row r="162" customFormat="false" ht="12.75" hidden="false" customHeight="false" outlineLevel="0" collapsed="false">
      <c r="A162" s="128" t="s">
        <v>254</v>
      </c>
      <c r="B162" s="110" t="s">
        <v>323</v>
      </c>
      <c r="C162" s="287" t="e">
        <f aca="false">+(D162+D163+D164)/D23</f>
        <v>#DIV/0!</v>
      </c>
      <c r="D162" s="78" t="n">
        <f aca="false">ROUND(D29*(SUM($C$37:$C$44)),2)</f>
        <v>0</v>
      </c>
    </row>
    <row r="163" customFormat="false" ht="12.75" hidden="false" customHeight="false" outlineLevel="0" collapsed="false">
      <c r="A163" s="128" t="s">
        <v>324</v>
      </c>
      <c r="B163" s="110" t="s">
        <v>325</v>
      </c>
      <c r="C163" s="287"/>
      <c r="D163" s="78" t="n">
        <f aca="false">ROUND(D31*(SUM($C$37:$C$44)),2)</f>
        <v>0</v>
      </c>
    </row>
    <row r="164" customFormat="false" ht="12.75" hidden="false" customHeight="false" outlineLevel="0" collapsed="false">
      <c r="A164" s="128" t="s">
        <v>326</v>
      </c>
      <c r="B164" s="110" t="s">
        <v>327</v>
      </c>
      <c r="C164" s="287"/>
      <c r="D164" s="78" t="n">
        <f aca="false">ROUND(D32*(SUM($C$37:$C$44)),2)</f>
        <v>0</v>
      </c>
    </row>
    <row r="165" customFormat="false" ht="12.75" hidden="false" customHeight="false" outlineLevel="0" collapsed="false">
      <c r="A165" s="254" t="s">
        <v>218</v>
      </c>
      <c r="B165" s="254"/>
      <c r="C165" s="254"/>
      <c r="D165" s="288" t="n">
        <f aca="false">SUM(D157:D164)</f>
        <v>0</v>
      </c>
    </row>
    <row r="166" customFormat="false" ht="12.75" hidden="false" customHeight="false" outlineLevel="0" collapsed="false">
      <c r="B166" s="289"/>
      <c r="C166" s="289"/>
      <c r="D166" s="289"/>
    </row>
    <row r="167" s="127" customFormat="true" ht="12.75" hidden="false" customHeight="true" outlineLevel="0" collapsed="false">
      <c r="A167" s="290" t="s">
        <v>328</v>
      </c>
      <c r="B167" s="290"/>
      <c r="C167" s="290"/>
      <c r="D167" s="290"/>
      <c r="E167" s="291"/>
    </row>
    <row r="168" customFormat="false" ht="12.75" hidden="false" customHeight="false" outlineLevel="0" collapsed="false">
      <c r="A168" s="292"/>
      <c r="B168" s="292"/>
      <c r="C168" s="292"/>
      <c r="D168" s="292"/>
      <c r="E168" s="292"/>
    </row>
    <row r="169" customFormat="false" ht="12.75" hidden="false" customHeight="true" outlineLevel="0" collapsed="false">
      <c r="A169" s="293" t="s">
        <v>329</v>
      </c>
      <c r="B169" s="293"/>
      <c r="C169" s="293"/>
      <c r="D169" s="293"/>
      <c r="E169" s="292"/>
    </row>
    <row r="170" customFormat="false" ht="12.75" hidden="false" customHeight="false" outlineLevel="0" collapsed="false">
      <c r="A170" s="292"/>
      <c r="B170" s="292"/>
      <c r="C170" s="292"/>
      <c r="D170" s="292"/>
      <c r="E170" s="292"/>
    </row>
    <row r="171" customFormat="false" ht="12.75" hidden="false" customHeight="false" outlineLevel="0" collapsed="false">
      <c r="A171" s="292" t="s">
        <v>330</v>
      </c>
      <c r="B171" s="292"/>
      <c r="C171" s="292"/>
      <c r="D171" s="292"/>
      <c r="E171" s="292"/>
    </row>
  </sheetData>
  <mergeCells count="83"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53:C153"/>
    <mergeCell ref="A155:D155"/>
    <mergeCell ref="C162:C164"/>
    <mergeCell ref="A165:C165"/>
    <mergeCell ref="A167:D167"/>
    <mergeCell ref="A169:D169"/>
  </mergeCells>
  <printOptions headings="false" gridLines="false" gridLinesSet="true" horizontalCentered="false" verticalCentered="false"/>
  <pageMargins left="1.41736111111111" right="0.118055555555556" top="0.39375" bottom="0.551388888888889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 filterMode="false">
    <tabColor rgb="FFE46C0A"/>
    <pageSetUpPr fitToPage="false"/>
  </sheetPr>
  <dimension ref="A1:D2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0" activeCellId="0" sqref="A30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2" min="2" style="0" width="12.25"/>
    <col collapsed="false" customWidth="true" hidden="false" outlineLevel="0" max="3" min="3" style="0" width="11.88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363" t="s">
        <v>459</v>
      </c>
      <c r="B1" s="363"/>
      <c r="C1" s="363"/>
    </row>
    <row r="3" customFormat="false" ht="12.75" hidden="false" customHeight="false" outlineLevel="0" collapsed="false">
      <c r="A3" s="128" t="s">
        <v>332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(365.25/12/2)/(7/7)</f>
        <v>15.21875</v>
      </c>
    </row>
    <row r="6" customFormat="false" ht="12.75" hidden="false" customHeight="false" outlineLevel="0" collapsed="false">
      <c r="A6" s="110" t="s">
        <v>200</v>
      </c>
      <c r="B6" s="129" t="n">
        <f aca="false">+'Vigilante 12x36 Diurno Des'!D12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12x36 Diurno Des'!D23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12x36 Diurno Des'!D12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12x36 Diurno Des'!D13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12x36 Diurno Des'!D14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12x36 Diurno Des'!D15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12x36 Diurno Des'!D16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12x36 Diurno Des'!D20</f>
        <v>0</v>
      </c>
    </row>
    <row r="16" customFormat="false" ht="12.75" hidden="false" customHeight="false" outlineLevel="0" collapsed="false">
      <c r="A16" s="230" t="s">
        <v>337</v>
      </c>
      <c r="B16" s="297"/>
      <c r="C16" s="298" t="n">
        <f aca="false">SUM(C10:C15)</f>
        <v>0</v>
      </c>
    </row>
    <row r="17" customFormat="false" ht="12.75" hidden="false" customHeight="false" outlineLevel="0" collapsed="false">
      <c r="A17" s="128" t="s">
        <v>332</v>
      </c>
      <c r="B17" s="299" t="n">
        <f aca="false">+B3</f>
        <v>220</v>
      </c>
      <c r="C17" s="241"/>
    </row>
    <row r="18" customFormat="false" ht="12.75" hidden="false" customHeight="false" outlineLevel="0" collapsed="false">
      <c r="A18" s="230" t="s">
        <v>338</v>
      </c>
      <c r="B18" s="297"/>
      <c r="C18" s="232" t="n">
        <f aca="false">+C16/B17</f>
        <v>0</v>
      </c>
    </row>
    <row r="19" customFormat="false" ht="12.75" hidden="false" customHeight="false" outlineLevel="0" collapsed="false">
      <c r="A19" s="128" t="s">
        <v>339</v>
      </c>
      <c r="B19" s="128" t="n">
        <v>16</v>
      </c>
      <c r="C19" s="241"/>
    </row>
    <row r="20" customFormat="false" ht="12.75" hidden="false" customHeight="false" outlineLevel="0" collapsed="false">
      <c r="A20" s="128" t="s">
        <v>340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341</v>
      </c>
      <c r="B21" s="128" t="n">
        <f aca="false">+B20*B19</f>
        <v>192</v>
      </c>
      <c r="C21" s="78" t="n">
        <f aca="false">+B21*C18</f>
        <v>0</v>
      </c>
    </row>
    <row r="22" customFormat="false" ht="12.75" hidden="false" customHeight="false" outlineLevel="0" collapsed="false">
      <c r="A22" s="128" t="s">
        <v>342</v>
      </c>
      <c r="B22" s="225" t="n">
        <v>0.5</v>
      </c>
      <c r="C22" s="78" t="n">
        <f aca="false">+B22*C21</f>
        <v>0</v>
      </c>
    </row>
    <row r="23" customFormat="false" ht="12.75" hidden="false" customHeight="false" outlineLevel="0" collapsed="false">
      <c r="A23" s="128" t="s">
        <v>343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344</v>
      </c>
      <c r="B24" s="128" t="n">
        <v>12</v>
      </c>
      <c r="C24" s="300"/>
    </row>
    <row r="25" customFormat="false" ht="12.75" hidden="false" customHeight="false" outlineLevel="0" collapsed="false">
      <c r="A25" s="268" t="s">
        <v>345</v>
      </c>
      <c r="B25" s="268"/>
      <c r="C25" s="288" t="n">
        <f aca="false">+C23/B24</f>
        <v>0</v>
      </c>
    </row>
    <row r="26" customFormat="false" ht="12.75" hidden="false" customHeight="false" outlineLevel="0" collapsed="false">
      <c r="C26" s="245"/>
    </row>
    <row r="27" customFormat="false" ht="12.75" hidden="false" customHeight="false" outlineLevel="0" collapsed="false">
      <c r="A27" s="255" t="s">
        <v>346</v>
      </c>
      <c r="B27" s="255"/>
      <c r="C27" s="255"/>
    </row>
    <row r="28" customFormat="false" ht="12.75" hidden="false" customHeight="false" outlineLevel="0" collapsed="false">
      <c r="A28" s="128" t="s">
        <v>338</v>
      </c>
      <c r="B28" s="260"/>
      <c r="C28" s="296" t="n">
        <f aca="false">+C18</f>
        <v>0</v>
      </c>
    </row>
    <row r="29" customFormat="false" ht="12.75" hidden="false" customHeight="false" outlineLevel="0" collapsed="false">
      <c r="A29" s="128" t="s">
        <v>341</v>
      </c>
      <c r="B29" s="128" t="n">
        <v>192</v>
      </c>
      <c r="C29" s="241"/>
    </row>
    <row r="30" customFormat="false" ht="12.75" hidden="false" customHeight="false" outlineLevel="0" collapsed="false">
      <c r="A30" s="128" t="s">
        <v>347</v>
      </c>
      <c r="B30" s="128" t="n">
        <f aca="false">+$B$4</f>
        <v>365.25</v>
      </c>
      <c r="C30" s="241"/>
    </row>
    <row r="31" customFormat="false" ht="12.75" hidden="false" customHeight="false" outlineLevel="0" collapsed="false">
      <c r="A31" s="128" t="s">
        <v>339</v>
      </c>
      <c r="B31" s="128" t="n">
        <v>16</v>
      </c>
      <c r="C31" s="241"/>
    </row>
    <row r="32" customFormat="false" ht="12.75" hidden="false" customHeight="false" outlineLevel="0" collapsed="false">
      <c r="A32" s="128" t="s">
        <v>342</v>
      </c>
      <c r="B32" s="225" t="n">
        <v>0.5</v>
      </c>
      <c r="C32" s="241"/>
    </row>
    <row r="33" customFormat="false" ht="12.75" hidden="false" customHeight="false" outlineLevel="0" collapsed="false">
      <c r="A33" s="128" t="s">
        <v>348</v>
      </c>
      <c r="B33" s="301" t="n">
        <f aca="false">ROUND(((B30/7)*6)-B31,2)</f>
        <v>297.07</v>
      </c>
      <c r="C33" s="241"/>
    </row>
    <row r="34" customFormat="false" ht="12.75" hidden="false" customHeight="false" outlineLevel="0" collapsed="false">
      <c r="A34" s="128" t="s">
        <v>349</v>
      </c>
      <c r="B34" s="110" t="n">
        <v>12</v>
      </c>
      <c r="C34" s="241"/>
    </row>
    <row r="35" customFormat="false" ht="25.5" hidden="false" customHeight="false" outlineLevel="0" collapsed="false">
      <c r="A35" s="261" t="s">
        <v>350</v>
      </c>
      <c r="B35" s="128" t="n">
        <f aca="false">+((B29/B34)*B32)/B33</f>
        <v>0.0269296798734305</v>
      </c>
      <c r="C35" s="241"/>
    </row>
    <row r="36" customFormat="false" ht="12.75" hidden="false" customHeight="false" outlineLevel="0" collapsed="false">
      <c r="A36" s="253" t="s">
        <v>351</v>
      </c>
      <c r="B36" s="253"/>
      <c r="C36" s="288" t="n">
        <f aca="false">+C28*(B30-B33)*B35</f>
        <v>0</v>
      </c>
    </row>
    <row r="37" customFormat="false" ht="12.75" hidden="false" customHeight="false" outlineLevel="0" collapsed="false">
      <c r="C37" s="245"/>
    </row>
    <row r="38" customFormat="false" ht="12.75" hidden="false" customHeight="false" outlineLevel="0" collapsed="false">
      <c r="A38" s="285" t="s">
        <v>352</v>
      </c>
      <c r="B38" s="285"/>
      <c r="C38" s="285"/>
    </row>
    <row r="39" customFormat="false" ht="12.75" hidden="false" customHeight="false" outlineLevel="0" collapsed="false">
      <c r="A39" s="264" t="s">
        <v>200</v>
      </c>
      <c r="B39" s="302"/>
      <c r="C39" s="303" t="n">
        <f aca="false">+'Vigilante 12x36 Diurno Des'!D12</f>
        <v>0</v>
      </c>
    </row>
    <row r="40" customFormat="false" ht="12.75" hidden="false" customHeight="false" outlineLevel="0" collapsed="false">
      <c r="A40" s="264" t="s">
        <v>201</v>
      </c>
      <c r="B40" s="304"/>
      <c r="C40" s="303" t="n">
        <f aca="false">+'Vigilante 12x36 Diurno Des'!D13</f>
        <v>0</v>
      </c>
    </row>
    <row r="41" customFormat="false" ht="12.75" hidden="false" customHeight="false" outlineLevel="0" collapsed="false">
      <c r="A41" s="264" t="s">
        <v>202</v>
      </c>
      <c r="B41" s="304"/>
      <c r="C41" s="303" t="n">
        <f aca="false">+'Vigilante 12x36 Diurno Des'!D14</f>
        <v>0</v>
      </c>
    </row>
    <row r="42" customFormat="false" ht="12.75" hidden="false" customHeight="false" outlineLevel="0" collapsed="false">
      <c r="A42" s="264" t="s">
        <v>203</v>
      </c>
      <c r="B42" s="304"/>
      <c r="C42" s="303" t="n">
        <f aca="false">+'Vigilante 12x36 Diurno Des'!D15</f>
        <v>0</v>
      </c>
    </row>
    <row r="43" customFormat="false" ht="12.75" hidden="false" customHeight="false" outlineLevel="0" collapsed="false">
      <c r="A43" s="264" t="s">
        <v>205</v>
      </c>
      <c r="B43" s="304"/>
      <c r="C43" s="303" t="n">
        <f aca="false">+'Vigilante 12x36 Diurno Des'!D16</f>
        <v>0</v>
      </c>
    </row>
    <row r="44" customFormat="false" ht="12.75" hidden="false" customHeight="false" outlineLevel="0" collapsed="false">
      <c r="A44" s="264" t="s">
        <v>209</v>
      </c>
      <c r="B44" s="304"/>
      <c r="C44" s="303" t="n">
        <f aca="false">+'Vigilante 12x36 Diurno Des'!D18</f>
        <v>0</v>
      </c>
    </row>
    <row r="45" customFormat="false" ht="12.75" hidden="false" customHeight="false" outlineLevel="0" collapsed="false">
      <c r="A45" s="264" t="s">
        <v>213</v>
      </c>
      <c r="B45" s="304"/>
      <c r="C45" s="303" t="n">
        <f aca="false">+'Vigilante 12x36 Diurno Des'!D20</f>
        <v>0</v>
      </c>
    </row>
    <row r="46" customFormat="false" ht="12.75" hidden="false" customHeight="false" outlineLevel="0" collapsed="false">
      <c r="A46" s="230" t="s">
        <v>353</v>
      </c>
      <c r="B46" s="305"/>
      <c r="C46" s="306" t="n">
        <f aca="false">SUM(C39:C45)</f>
        <v>0</v>
      </c>
    </row>
    <row r="47" customFormat="false" ht="12.75" hidden="false" customHeight="false" outlineLevel="0" collapsed="false">
      <c r="A47" s="128" t="s">
        <v>332</v>
      </c>
      <c r="B47" s="299" t="n">
        <f aca="false">+B3</f>
        <v>220</v>
      </c>
      <c r="C47" s="304"/>
    </row>
    <row r="48" customFormat="false" ht="12.75" hidden="false" customHeight="false" outlineLevel="0" collapsed="false">
      <c r="A48" s="128" t="s">
        <v>338</v>
      </c>
      <c r="B48" s="304"/>
      <c r="C48" s="307" t="n">
        <f aca="false">ROUND(+C46/B47,2)</f>
        <v>0</v>
      </c>
    </row>
    <row r="49" customFormat="false" ht="12.75" hidden="false" customHeight="false" outlineLevel="0" collapsed="false">
      <c r="A49" s="128" t="s">
        <v>354</v>
      </c>
      <c r="B49" s="295" t="n">
        <f aca="false">(365.25/12/2)/(7/7)</f>
        <v>15.21875</v>
      </c>
      <c r="C49" s="304"/>
    </row>
    <row r="50" customFormat="false" ht="12.75" hidden="false" customHeight="false" outlineLevel="0" collapsed="false">
      <c r="A50" s="128" t="s">
        <v>355</v>
      </c>
      <c r="B50" s="225" t="n">
        <v>0.5</v>
      </c>
      <c r="C50" s="128"/>
    </row>
    <row r="51" customFormat="false" ht="12.75" hidden="false" customHeight="false" outlineLevel="0" collapsed="false">
      <c r="A51" s="268" t="s">
        <v>356</v>
      </c>
      <c r="B51" s="268"/>
      <c r="C51" s="288" t="n">
        <f aca="false">ROUND((B49*C48)*(1+B50),2)</f>
        <v>0</v>
      </c>
    </row>
    <row r="53" customFormat="false" ht="12.75" hidden="false" customHeight="false" outlineLevel="0" collapsed="false">
      <c r="A53" s="285" t="s">
        <v>357</v>
      </c>
      <c r="B53" s="285"/>
      <c r="C53" s="285"/>
    </row>
    <row r="54" customFormat="false" ht="12.75" hidden="false" customHeight="false" outlineLevel="0" collapsed="false">
      <c r="A54" s="128" t="s">
        <v>347</v>
      </c>
      <c r="B54" s="128" t="n">
        <v>365.25</v>
      </c>
      <c r="C54" s="260"/>
    </row>
    <row r="55" customFormat="false" ht="12.75" hidden="false" customHeight="false" outlineLevel="0" collapsed="false">
      <c r="A55" s="128" t="s">
        <v>349</v>
      </c>
      <c r="B55" s="110" t="n">
        <v>12</v>
      </c>
      <c r="C55" s="260"/>
    </row>
    <row r="56" customFormat="false" ht="12.75" hidden="false" customHeight="false" outlineLevel="0" collapsed="false">
      <c r="A56" s="128" t="s">
        <v>358</v>
      </c>
      <c r="B56" s="225" t="n">
        <v>0.5</v>
      </c>
      <c r="C56" s="260"/>
    </row>
    <row r="57" customFormat="false" ht="12.75" hidden="false" customHeight="false" outlineLevel="0" collapsed="false">
      <c r="A57" s="308" t="s">
        <v>359</v>
      </c>
      <c r="B57" s="110" t="n">
        <v>7</v>
      </c>
      <c r="C57" s="260"/>
    </row>
    <row r="58" customFormat="false" ht="12.75" hidden="false" customHeight="false" outlineLevel="0" collapsed="false">
      <c r="A58" s="110" t="s">
        <v>360</v>
      </c>
      <c r="B58" s="260"/>
      <c r="C58" s="129" t="n">
        <f aca="false">+'Vigilante 12x36 Diurno Des'!$D$12</f>
        <v>0</v>
      </c>
    </row>
    <row r="59" customFormat="false" ht="12.75" hidden="false" customHeight="false" outlineLevel="0" collapsed="false">
      <c r="A59" s="110" t="s">
        <v>201</v>
      </c>
      <c r="B59" s="260"/>
      <c r="C59" s="129" t="n">
        <f aca="false">+'Vigilante 12x36 Diurno Des'!$D$13</f>
        <v>0</v>
      </c>
    </row>
    <row r="60" customFormat="false" ht="12.75" hidden="false" customHeight="false" outlineLevel="0" collapsed="false">
      <c r="A60" s="110" t="s">
        <v>202</v>
      </c>
      <c r="B60" s="260"/>
      <c r="C60" s="129" t="n">
        <f aca="false">+'Vigilante 12x36 Diurno Des'!$D$14</f>
        <v>0</v>
      </c>
    </row>
    <row r="61" customFormat="false" ht="12.75" hidden="false" customHeight="false" outlineLevel="0" collapsed="false">
      <c r="A61" s="309" t="s">
        <v>337</v>
      </c>
      <c r="B61" s="260"/>
      <c r="C61" s="310" t="n">
        <f aca="false">SUM(C58:C60)</f>
        <v>0</v>
      </c>
    </row>
    <row r="62" customFormat="false" ht="12.75" hidden="false" customHeight="false" outlineLevel="0" collapsed="false">
      <c r="A62" s="128" t="s">
        <v>332</v>
      </c>
      <c r="B62" s="311" t="n">
        <f aca="false">+B3</f>
        <v>220</v>
      </c>
      <c r="C62" s="260"/>
    </row>
    <row r="63" customFormat="false" ht="12.75" hidden="false" customHeight="false" outlineLevel="0" collapsed="false">
      <c r="A63" s="110" t="s">
        <v>361</v>
      </c>
      <c r="B63" s="225" t="n">
        <v>0.2</v>
      </c>
      <c r="C63" s="260"/>
    </row>
    <row r="64" customFormat="false" ht="12.75" hidden="false" customHeight="false" outlineLevel="0" collapsed="false">
      <c r="A64" s="110" t="s">
        <v>362</v>
      </c>
      <c r="B64" s="260"/>
      <c r="C64" s="78" t="n">
        <f aca="false">ROUND((C61/B62)*B63,2)</f>
        <v>0</v>
      </c>
    </row>
    <row r="65" customFormat="false" ht="12.75" hidden="false" customHeight="false" outlineLevel="0" collapsed="false">
      <c r="A65" s="110" t="s">
        <v>363</v>
      </c>
      <c r="B65" s="128" t="n">
        <f aca="false">ROUND(+B54/B55*B56*B57,0)</f>
        <v>107</v>
      </c>
      <c r="C65" s="312"/>
    </row>
    <row r="66" customFormat="false" ht="12.75" hidden="false" customHeight="false" outlineLevel="0" collapsed="false">
      <c r="A66" s="313" t="s">
        <v>364</v>
      </c>
      <c r="B66" s="313"/>
      <c r="C66" s="26" t="n">
        <f aca="false">ROUND(+B65*C64,2)</f>
        <v>0</v>
      </c>
    </row>
    <row r="68" customFormat="false" ht="12.75" hidden="false" customHeight="false" outlineLevel="0" collapsed="false">
      <c r="A68" s="255" t="s">
        <v>365</v>
      </c>
      <c r="B68" s="255"/>
      <c r="C68" s="255"/>
    </row>
    <row r="69" customFormat="false" ht="12.75" hidden="false" customHeight="false" outlineLevel="0" collapsed="false">
      <c r="A69" s="128" t="s">
        <v>338</v>
      </c>
      <c r="B69" s="260"/>
      <c r="C69" s="296" t="n">
        <f aca="false">+C66</f>
        <v>0</v>
      </c>
    </row>
    <row r="70" customFormat="false" ht="12.75" hidden="false" customHeight="false" outlineLevel="0" collapsed="false">
      <c r="A70" s="128" t="s">
        <v>341</v>
      </c>
      <c r="B70" s="128" t="n">
        <v>192</v>
      </c>
      <c r="C70" s="241"/>
    </row>
    <row r="71" customFormat="false" ht="12.75" hidden="false" customHeight="false" outlineLevel="0" collapsed="false">
      <c r="A71" s="128" t="s">
        <v>347</v>
      </c>
      <c r="B71" s="128" t="n">
        <f aca="false">+$B$4</f>
        <v>365.25</v>
      </c>
      <c r="C71" s="241"/>
    </row>
    <row r="72" customFormat="false" ht="12.75" hidden="false" customHeight="false" outlineLevel="0" collapsed="false">
      <c r="A72" s="128" t="s">
        <v>339</v>
      </c>
      <c r="B72" s="128" t="n">
        <v>16</v>
      </c>
      <c r="C72" s="241"/>
    </row>
    <row r="73" customFormat="false" ht="12.75" hidden="false" customHeight="false" outlineLevel="0" collapsed="false">
      <c r="A73" s="128" t="s">
        <v>342</v>
      </c>
      <c r="B73" s="225" t="n">
        <v>0.5</v>
      </c>
      <c r="C73" s="241"/>
    </row>
    <row r="74" customFormat="false" ht="12.75" hidden="false" customHeight="false" outlineLevel="0" collapsed="false">
      <c r="A74" s="128" t="s">
        <v>348</v>
      </c>
      <c r="B74" s="301" t="n">
        <f aca="false">ROUND(((B71/7)*6)-B72,2)</f>
        <v>297.07</v>
      </c>
      <c r="C74" s="241"/>
    </row>
    <row r="75" customFormat="false" ht="12.75" hidden="false" customHeight="false" outlineLevel="0" collapsed="false">
      <c r="A75" s="128" t="s">
        <v>349</v>
      </c>
      <c r="B75" s="110" t="n">
        <v>12</v>
      </c>
      <c r="C75" s="241"/>
    </row>
    <row r="76" customFormat="false" ht="25.5" hidden="false" customHeight="false" outlineLevel="0" collapsed="false">
      <c r="A76" s="261" t="s">
        <v>350</v>
      </c>
      <c r="B76" s="128" t="n">
        <f aca="false">+((B70/B75)*B73)/B74</f>
        <v>0.0269296798734305</v>
      </c>
      <c r="C76" s="241"/>
    </row>
    <row r="77" customFormat="false" ht="12.75" hidden="false" customHeight="false" outlineLevel="0" collapsed="false">
      <c r="A77" s="253" t="s">
        <v>351</v>
      </c>
      <c r="B77" s="253"/>
      <c r="C77" s="288" t="n">
        <f aca="false">+C69/B70*(B71-B74)*B76</f>
        <v>0</v>
      </c>
    </row>
    <row r="79" customFormat="false" ht="12.75" hidden="false" customHeight="false" outlineLevel="0" collapsed="false">
      <c r="A79" s="285" t="s">
        <v>366</v>
      </c>
      <c r="B79" s="285"/>
      <c r="C79" s="285"/>
    </row>
    <row r="80" customFormat="false" ht="12.75" hidden="false" customHeight="false" outlineLevel="0" collapsed="false">
      <c r="A80" s="128" t="s">
        <v>347</v>
      </c>
      <c r="B80" s="128" t="n">
        <f aca="false">+$B$4</f>
        <v>365.25</v>
      </c>
      <c r="C80" s="260"/>
    </row>
    <row r="81" customFormat="false" ht="12.75" hidden="false" customHeight="false" outlineLevel="0" collapsed="false">
      <c r="A81" s="128" t="s">
        <v>349</v>
      </c>
      <c r="B81" s="110" t="n">
        <v>12</v>
      </c>
      <c r="C81" s="260"/>
    </row>
    <row r="82" customFormat="false" ht="12.75" hidden="false" customHeight="false" outlineLevel="0" collapsed="false">
      <c r="A82" s="128" t="s">
        <v>358</v>
      </c>
      <c r="B82" s="225" t="n">
        <v>0.5</v>
      </c>
      <c r="C82" s="260"/>
      <c r="D82" s="314"/>
    </row>
    <row r="83" customFormat="false" ht="12.75" hidden="false" customHeight="false" outlineLevel="0" collapsed="false">
      <c r="A83" s="308" t="s">
        <v>359</v>
      </c>
      <c r="B83" s="110" t="n">
        <v>7</v>
      </c>
      <c r="C83" s="260"/>
      <c r="D83" s="314"/>
    </row>
    <row r="84" customFormat="false" ht="12.75" hidden="false" customHeight="false" outlineLevel="0" collapsed="false">
      <c r="A84" s="110" t="s">
        <v>367</v>
      </c>
      <c r="B84" s="295" t="n">
        <f aca="false">(365.25/12/2)/(7/7)</f>
        <v>15.21875</v>
      </c>
      <c r="C84" s="128"/>
      <c r="D84" s="314"/>
    </row>
    <row r="85" customFormat="false" ht="12.75" hidden="false" customHeight="false" outlineLevel="0" collapsed="false">
      <c r="A85" s="110" t="s">
        <v>368</v>
      </c>
      <c r="B85" s="128" t="n">
        <f aca="false">ROUND(+B84*B83,2)</f>
        <v>106.53</v>
      </c>
      <c r="C85" s="128"/>
    </row>
    <row r="86" customFormat="false" ht="12.75" hidden="false" customHeight="false" outlineLevel="0" collapsed="false">
      <c r="A86" s="110" t="s">
        <v>360</v>
      </c>
      <c r="B86" s="260"/>
      <c r="C86" s="129" t="n">
        <f aca="false">+'Vigilante 12x36 Diurno Des'!$D$12</f>
        <v>0</v>
      </c>
    </row>
    <row r="87" customFormat="false" ht="12.75" hidden="false" customHeight="false" outlineLevel="0" collapsed="false">
      <c r="A87" s="110" t="s">
        <v>201</v>
      </c>
      <c r="B87" s="260"/>
      <c r="C87" s="129" t="n">
        <f aca="false">+'Vigilante 12x36 Diurno Des'!$D$13</f>
        <v>0</v>
      </c>
    </row>
    <row r="88" customFormat="false" ht="12.75" hidden="false" customHeight="false" outlineLevel="0" collapsed="false">
      <c r="A88" s="110" t="s">
        <v>202</v>
      </c>
      <c r="B88" s="260"/>
      <c r="C88" s="129" t="n">
        <f aca="false">+'Vigilante 12x36 Diurno Des'!$D$14</f>
        <v>0</v>
      </c>
    </row>
    <row r="89" customFormat="false" ht="12.75" hidden="false" customHeight="false" outlineLevel="0" collapsed="false">
      <c r="A89" s="309" t="s">
        <v>337</v>
      </c>
      <c r="B89" s="260"/>
      <c r="C89" s="310" t="n">
        <f aca="false">SUM(C86:C88)</f>
        <v>0</v>
      </c>
      <c r="D89" s="103"/>
    </row>
    <row r="90" customFormat="false" ht="12.75" hidden="false" customHeight="false" outlineLevel="0" collapsed="false">
      <c r="A90" s="128" t="s">
        <v>332</v>
      </c>
      <c r="B90" s="311" t="n">
        <f aca="false">+B3</f>
        <v>220</v>
      </c>
      <c r="C90" s="260"/>
    </row>
    <row r="91" customFormat="false" ht="12.75" hidden="false" customHeight="false" outlineLevel="0" collapsed="false">
      <c r="A91" s="110" t="s">
        <v>361</v>
      </c>
      <c r="B91" s="225" t="n">
        <v>0.2</v>
      </c>
      <c r="C91" s="260"/>
    </row>
    <row r="92" customFormat="false" ht="12.75" hidden="false" customHeight="false" outlineLevel="0" collapsed="false">
      <c r="A92" s="110" t="s">
        <v>362</v>
      </c>
      <c r="B92" s="260"/>
      <c r="C92" s="78" t="n">
        <f aca="false">ROUND((C89/B90)*B91,2)</f>
        <v>0</v>
      </c>
    </row>
    <row r="93" customFormat="false" ht="12.75" hidden="false" customHeight="false" outlineLevel="0" collapsed="false">
      <c r="A93" s="110" t="s">
        <v>369</v>
      </c>
      <c r="B93" s="128" t="n">
        <v>60</v>
      </c>
      <c r="C93" s="260"/>
    </row>
    <row r="94" customFormat="false" ht="12.75" hidden="false" customHeight="false" outlineLevel="0" collapsed="false">
      <c r="A94" s="110" t="s">
        <v>370</v>
      </c>
      <c r="B94" s="128" t="n">
        <v>52.5</v>
      </c>
      <c r="C94" s="260"/>
    </row>
    <row r="95" customFormat="false" ht="12.75" hidden="false" customHeight="false" outlineLevel="0" collapsed="false">
      <c r="A95" s="110" t="s">
        <v>371</v>
      </c>
      <c r="B95" s="128" t="n">
        <f aca="false">+B93/B94</f>
        <v>1.14285714285714</v>
      </c>
      <c r="C95" s="260"/>
    </row>
    <row r="96" customFormat="false" ht="12.75" hidden="false" customHeight="false" outlineLevel="0" collapsed="false">
      <c r="A96" s="110" t="s">
        <v>372</v>
      </c>
      <c r="B96" s="128" t="n">
        <f aca="false">ROUND(+B95*B85,2)</f>
        <v>121.75</v>
      </c>
      <c r="C96" s="260"/>
    </row>
    <row r="97" customFormat="false" ht="12.75" hidden="false" customHeight="false" outlineLevel="0" collapsed="false">
      <c r="A97" s="110" t="s">
        <v>373</v>
      </c>
      <c r="B97" s="128" t="n">
        <f aca="false">ROUND(B96-B85,2)</f>
        <v>15.22</v>
      </c>
      <c r="C97" s="312"/>
    </row>
    <row r="98" customFormat="false" ht="12.75" hidden="false" customHeight="false" outlineLevel="0" collapsed="false">
      <c r="A98" s="268" t="s">
        <v>374</v>
      </c>
      <c r="B98" s="268"/>
      <c r="C98" s="272" t="n">
        <f aca="false">+B97*C92</f>
        <v>0</v>
      </c>
    </row>
    <row r="100" customFormat="false" ht="12.75" hidden="false" customHeight="false" outlineLevel="0" collapsed="false">
      <c r="A100" s="285" t="s">
        <v>375</v>
      </c>
      <c r="B100" s="285"/>
      <c r="C100" s="285"/>
    </row>
    <row r="101" customFormat="false" ht="12.75" hidden="false" customHeight="false" outlineLevel="0" collapsed="false">
      <c r="A101" s="128" t="s">
        <v>347</v>
      </c>
      <c r="B101" s="128" t="n">
        <f aca="false">+$B$4</f>
        <v>365.25</v>
      </c>
      <c r="C101" s="260"/>
    </row>
    <row r="102" customFormat="false" ht="12.75" hidden="false" customHeight="false" outlineLevel="0" collapsed="false">
      <c r="A102" s="128" t="s">
        <v>349</v>
      </c>
      <c r="B102" s="110" t="n">
        <v>12</v>
      </c>
      <c r="C102" s="260"/>
    </row>
    <row r="103" customFormat="false" ht="12.75" hidden="false" customHeight="false" outlineLevel="0" collapsed="false">
      <c r="A103" s="128" t="s">
        <v>358</v>
      </c>
      <c r="B103" s="225" t="n">
        <v>0.5</v>
      </c>
      <c r="C103" s="260"/>
    </row>
    <row r="104" customFormat="false" ht="12.75" hidden="false" customHeight="false" outlineLevel="0" collapsed="false">
      <c r="A104" s="110" t="s">
        <v>376</v>
      </c>
      <c r="B104" s="128" t="n">
        <f aca="false">ROUND((B101/B102)*B103,2)</f>
        <v>15.22</v>
      </c>
      <c r="C104" s="260"/>
    </row>
    <row r="105" customFormat="false" ht="12.75" hidden="false" customHeight="false" outlineLevel="0" collapsed="false">
      <c r="A105" s="315" t="s">
        <v>377</v>
      </c>
      <c r="B105" s="316"/>
      <c r="C105" s="260"/>
    </row>
    <row r="106" customFormat="false" ht="12.75" hidden="false" customHeight="false" outlineLevel="0" collapsed="false">
      <c r="A106" s="128" t="s">
        <v>378</v>
      </c>
      <c r="B106" s="225" t="n">
        <v>0.06</v>
      </c>
      <c r="C106" s="260"/>
    </row>
    <row r="107" customFormat="false" ht="12.75" hidden="false" customHeight="false" outlineLevel="0" collapsed="false">
      <c r="A107" s="268" t="s">
        <v>379</v>
      </c>
      <c r="B107" s="268"/>
      <c r="C107" s="288" t="n">
        <f aca="false">ROUND((B104*(B105*2)-($B$6*B106)),2)</f>
        <v>0</v>
      </c>
    </row>
    <row r="109" customFormat="false" ht="12.75" hidden="false" customHeight="false" outlineLevel="0" collapsed="false">
      <c r="A109" s="285" t="s">
        <v>380</v>
      </c>
      <c r="B109" s="285"/>
      <c r="C109" s="285"/>
    </row>
    <row r="110" customFormat="false" ht="12.75" hidden="false" customHeight="false" outlineLevel="0" collapsed="false">
      <c r="A110" s="128" t="s">
        <v>347</v>
      </c>
      <c r="B110" s="128" t="n">
        <f aca="false">+$B$4</f>
        <v>365.25</v>
      </c>
      <c r="C110" s="260"/>
    </row>
    <row r="111" customFormat="false" ht="12.75" hidden="false" customHeight="false" outlineLevel="0" collapsed="false">
      <c r="A111" s="128" t="s">
        <v>349</v>
      </c>
      <c r="B111" s="110" t="n">
        <v>12</v>
      </c>
      <c r="C111" s="260"/>
    </row>
    <row r="112" customFormat="false" ht="12.75" hidden="false" customHeight="false" outlineLevel="0" collapsed="false">
      <c r="A112" s="128" t="s">
        <v>358</v>
      </c>
      <c r="B112" s="225" t="n">
        <v>0.5</v>
      </c>
      <c r="C112" s="260"/>
    </row>
    <row r="113" customFormat="false" ht="12.75" hidden="false" customHeight="false" outlineLevel="0" collapsed="false">
      <c r="A113" s="110" t="s">
        <v>376</v>
      </c>
      <c r="B113" s="128" t="n">
        <f aca="false">ROUND((B110/B111)*B112,2)</f>
        <v>15.22</v>
      </c>
      <c r="C113" s="260"/>
    </row>
    <row r="114" customFormat="false" ht="12.75" hidden="false" customHeight="false" outlineLevel="0" collapsed="false">
      <c r="A114" s="315" t="s">
        <v>381</v>
      </c>
      <c r="B114" s="316"/>
      <c r="C114" s="260"/>
    </row>
    <row r="115" customFormat="false" ht="12.75" hidden="false" customHeight="false" outlineLevel="0" collapsed="false">
      <c r="A115" s="128" t="s">
        <v>382</v>
      </c>
      <c r="B115" s="225" t="n">
        <v>0.2</v>
      </c>
      <c r="C115" s="260"/>
    </row>
    <row r="116" customFormat="false" ht="12.75" hidden="false" customHeight="false" outlineLevel="0" collapsed="false">
      <c r="A116" s="268" t="s">
        <v>381</v>
      </c>
      <c r="B116" s="268"/>
      <c r="C116" s="288" t="n">
        <f aca="false">ROUND((B113*(B114)-((B113*B114)*B115)),2)</f>
        <v>0</v>
      </c>
    </row>
    <row r="118" customFormat="false" ht="12.75" hidden="false" customHeight="false" outlineLevel="0" collapsed="false">
      <c r="A118" s="285" t="s">
        <v>383</v>
      </c>
      <c r="B118" s="285"/>
      <c r="C118" s="285"/>
    </row>
    <row r="119" customFormat="false" ht="12.75" hidden="false" customHeight="false" outlineLevel="0" collapsed="false">
      <c r="A119" s="128" t="s">
        <v>384</v>
      </c>
      <c r="B119" s="129" t="n">
        <f aca="false">+B7</f>
        <v>0</v>
      </c>
      <c r="C119" s="260"/>
    </row>
    <row r="120" customFormat="false" ht="12.75" hidden="false" customHeight="false" outlineLevel="0" collapsed="false">
      <c r="A120" s="128" t="s">
        <v>385</v>
      </c>
      <c r="B120" s="128" t="n">
        <v>12</v>
      </c>
      <c r="C120" s="260"/>
    </row>
    <row r="121" customFormat="false" ht="12.75" hidden="false" customHeight="false" outlineLevel="0" collapsed="false">
      <c r="A121" s="246" t="s">
        <v>386</v>
      </c>
      <c r="B121" s="274"/>
      <c r="C121" s="260"/>
    </row>
    <row r="122" customFormat="false" ht="12.75" hidden="false" customHeight="false" outlineLevel="0" collapsed="false">
      <c r="A122" s="268" t="s">
        <v>387</v>
      </c>
      <c r="B122" s="268"/>
      <c r="C122" s="288" t="n">
        <f aca="false">ROUND(+(B119/B120)*B121,2)</f>
        <v>0</v>
      </c>
    </row>
    <row r="124" customFormat="false" ht="12.75" hidden="false" customHeight="true" outlineLevel="0" collapsed="false">
      <c r="A124" s="317" t="s">
        <v>388</v>
      </c>
      <c r="B124" s="317"/>
      <c r="C124" s="317"/>
    </row>
    <row r="125" s="34" customFormat="true" ht="12.75" hidden="false" customHeight="false" outlineLevel="0" collapsed="false">
      <c r="A125" s="318" t="s">
        <v>389</v>
      </c>
      <c r="B125" s="274" t="n">
        <f aca="false">+B121</f>
        <v>0</v>
      </c>
      <c r="C125" s="260"/>
    </row>
    <row r="126" customFormat="false" ht="12.75" hidden="false" customHeight="false" outlineLevel="0" collapsed="false">
      <c r="A126" s="128" t="s">
        <v>390</v>
      </c>
      <c r="B126" s="129" t="n">
        <f aca="false">+'Vigilante 12x36 Diurno Des'!$D$23</f>
        <v>0</v>
      </c>
      <c r="C126" s="260"/>
    </row>
    <row r="127" customFormat="false" ht="12.75" hidden="false" customHeight="false" outlineLevel="0" collapsed="false">
      <c r="A127" s="128" t="s">
        <v>223</v>
      </c>
      <c r="B127" s="129" t="n">
        <f aca="false">+'Vigilante 12x36 Diurno Des'!$D$29</f>
        <v>0</v>
      </c>
      <c r="C127" s="260"/>
    </row>
    <row r="128" customFormat="false" ht="12.75" hidden="false" customHeight="false" outlineLevel="0" collapsed="false">
      <c r="A128" s="319" t="s">
        <v>226</v>
      </c>
      <c r="B128" s="129" t="n">
        <f aca="false">+'Vigilante 12x36 Diurno Des'!$D$31</f>
        <v>0</v>
      </c>
      <c r="C128" s="260"/>
    </row>
    <row r="129" customFormat="false" ht="12.75" hidden="false" customHeight="false" outlineLevel="0" collapsed="false">
      <c r="A129" s="319" t="s">
        <v>228</v>
      </c>
      <c r="B129" s="129" t="n">
        <f aca="false">+'Vigilante 12x36 Diurno Des'!$D$32</f>
        <v>0</v>
      </c>
      <c r="C129" s="260"/>
    </row>
    <row r="130" customFormat="false" ht="12.75" hidden="false" customHeight="false" outlineLevel="0" collapsed="false">
      <c r="A130" s="309" t="s">
        <v>391</v>
      </c>
      <c r="B130" s="310" t="n">
        <f aca="false">SUM(B126:B129)</f>
        <v>0</v>
      </c>
      <c r="C130" s="260"/>
    </row>
    <row r="131" customFormat="false" ht="12.75" hidden="false" customHeight="false" outlineLevel="0" collapsed="false">
      <c r="A131" s="76" t="s">
        <v>392</v>
      </c>
      <c r="B131" s="225" t="n">
        <v>0.4</v>
      </c>
      <c r="C131" s="260"/>
    </row>
    <row r="132" customFormat="false" ht="12.75" hidden="false" customHeight="false" outlineLevel="0" collapsed="false">
      <c r="A132" s="76" t="s">
        <v>393</v>
      </c>
      <c r="B132" s="225" t="n">
        <f aca="false">+'Vigilante 12x36 Diurno Des'!$C$44</f>
        <v>0.08</v>
      </c>
      <c r="C132" s="260"/>
    </row>
    <row r="133" customFormat="false" ht="12.75" hidden="false" customHeight="false" outlineLevel="0" collapsed="false">
      <c r="A133" s="270" t="s">
        <v>394</v>
      </c>
      <c r="B133" s="270"/>
      <c r="C133" s="271" t="n">
        <f aca="false">ROUND(+B130*B131*B132*B125,2)</f>
        <v>0</v>
      </c>
    </row>
    <row r="134" customFormat="false" ht="12.75" hidden="false" customHeight="false" outlineLevel="0" collapsed="false">
      <c r="A134" s="76" t="s">
        <v>395</v>
      </c>
      <c r="B134" s="225" t="n">
        <v>0.1</v>
      </c>
      <c r="C134" s="260"/>
    </row>
    <row r="135" customFormat="false" ht="12.75" hidden="false" customHeight="false" outlineLevel="0" collapsed="false">
      <c r="A135" s="270" t="s">
        <v>396</v>
      </c>
      <c r="B135" s="270"/>
      <c r="C135" s="320" t="n">
        <f aca="false">ROUND(B134*B132*B130*B125,2)</f>
        <v>0</v>
      </c>
    </row>
    <row r="136" customFormat="false" ht="12.75" hidden="false" customHeight="false" outlineLevel="0" collapsed="false">
      <c r="A136" s="268" t="s">
        <v>397</v>
      </c>
      <c r="B136" s="268"/>
      <c r="C136" s="272" t="n">
        <f aca="false">+C135+C133</f>
        <v>0</v>
      </c>
    </row>
    <row r="138" customFormat="false" ht="12.75" hidden="false" customHeight="false" outlineLevel="0" collapsed="false">
      <c r="A138" s="285" t="s">
        <v>398</v>
      </c>
      <c r="B138" s="285"/>
      <c r="C138" s="285"/>
    </row>
    <row r="139" customFormat="false" ht="12.75" hidden="false" customHeight="false" outlineLevel="0" collapsed="false">
      <c r="A139" s="128" t="s">
        <v>384</v>
      </c>
      <c r="B139" s="129" t="n">
        <f aca="false">+B7</f>
        <v>0</v>
      </c>
      <c r="C139" s="260"/>
    </row>
    <row r="140" customFormat="false" ht="12.75" hidden="false" customHeight="false" outlineLevel="0" collapsed="false">
      <c r="A140" s="128" t="s">
        <v>399</v>
      </c>
      <c r="B140" s="321" t="n">
        <v>30</v>
      </c>
      <c r="C140" s="260"/>
    </row>
    <row r="141" customFormat="false" ht="12.75" hidden="false" customHeight="false" outlineLevel="0" collapsed="false">
      <c r="A141" s="128" t="s">
        <v>385</v>
      </c>
      <c r="B141" s="128" t="n">
        <v>12</v>
      </c>
      <c r="C141" s="260"/>
    </row>
    <row r="142" customFormat="false" ht="12.75" hidden="false" customHeight="false" outlineLevel="0" collapsed="false">
      <c r="A142" s="128" t="s">
        <v>400</v>
      </c>
      <c r="B142" s="128" t="n">
        <v>7</v>
      </c>
      <c r="C142" s="260"/>
    </row>
    <row r="143" customFormat="false" ht="12.75" hidden="false" customHeight="false" outlineLevel="0" collapsed="false">
      <c r="A143" s="246" t="s">
        <v>401</v>
      </c>
      <c r="B143" s="274"/>
      <c r="C143" s="260"/>
    </row>
    <row r="144" customFormat="false" ht="12.75" hidden="false" customHeight="false" outlineLevel="0" collapsed="false">
      <c r="A144" s="268" t="s">
        <v>402</v>
      </c>
      <c r="B144" s="268"/>
      <c r="C144" s="288" t="n">
        <f aca="false">+ROUND(((B139/B140/B141)*B142)*B143,2)</f>
        <v>0</v>
      </c>
    </row>
    <row r="146" customFormat="false" ht="12.75" hidden="false" customHeight="true" outlineLevel="0" collapsed="false">
      <c r="A146" s="317" t="s">
        <v>403</v>
      </c>
      <c r="B146" s="317"/>
      <c r="C146" s="317"/>
    </row>
    <row r="147" customFormat="false" ht="12.75" hidden="false" customHeight="false" outlineLevel="0" collapsed="false">
      <c r="A147" s="318" t="s">
        <v>404</v>
      </c>
      <c r="B147" s="274" t="n">
        <f aca="false">+B143</f>
        <v>0</v>
      </c>
      <c r="C147" s="260"/>
    </row>
    <row r="148" customFormat="false" ht="12.75" hidden="false" customHeight="false" outlineLevel="0" collapsed="false">
      <c r="A148" s="128" t="s">
        <v>390</v>
      </c>
      <c r="B148" s="129" t="n">
        <f aca="false">+'Vigilante 12x36 Diurno Des'!$D$23</f>
        <v>0</v>
      </c>
      <c r="C148" s="260"/>
    </row>
    <row r="149" customFormat="false" ht="12.75" hidden="false" customHeight="false" outlineLevel="0" collapsed="false">
      <c r="A149" s="128" t="s">
        <v>223</v>
      </c>
      <c r="B149" s="129" t="n">
        <f aca="false">+'Vigilante 12x36 Diurno Des'!$D$29</f>
        <v>0</v>
      </c>
      <c r="C149" s="260"/>
    </row>
    <row r="150" customFormat="false" ht="12.75" hidden="false" customHeight="false" outlineLevel="0" collapsed="false">
      <c r="A150" s="319" t="s">
        <v>226</v>
      </c>
      <c r="B150" s="129" t="n">
        <f aca="false">+'Vigilante 12x36 Diurno Des'!$D$31</f>
        <v>0</v>
      </c>
      <c r="C150" s="260"/>
    </row>
    <row r="151" customFormat="false" ht="12.75" hidden="false" customHeight="false" outlineLevel="0" collapsed="false">
      <c r="A151" s="319" t="s">
        <v>228</v>
      </c>
      <c r="B151" s="129" t="n">
        <f aca="false">+'Vigilante 12x36 Diurno Des'!$D$32</f>
        <v>0</v>
      </c>
      <c r="C151" s="260"/>
    </row>
    <row r="152" customFormat="false" ht="12.75" hidden="false" customHeight="false" outlineLevel="0" collapsed="false">
      <c r="A152" s="309" t="s">
        <v>391</v>
      </c>
      <c r="B152" s="310" t="n">
        <f aca="false">SUM(B148:B151)</f>
        <v>0</v>
      </c>
      <c r="C152" s="260"/>
    </row>
    <row r="153" customFormat="false" ht="12.75" hidden="false" customHeight="false" outlineLevel="0" collapsed="false">
      <c r="A153" s="76" t="s">
        <v>392</v>
      </c>
      <c r="B153" s="225" t="n">
        <v>0.4</v>
      </c>
      <c r="C153" s="260"/>
    </row>
    <row r="154" customFormat="false" ht="12.75" hidden="false" customHeight="false" outlineLevel="0" collapsed="false">
      <c r="A154" s="76" t="s">
        <v>393</v>
      </c>
      <c r="B154" s="225" t="n">
        <f aca="false">+'Vigilante 12x36 Diurno Des'!$C$44</f>
        <v>0.08</v>
      </c>
      <c r="C154" s="260"/>
    </row>
    <row r="155" customFormat="false" ht="12.75" hidden="false" customHeight="false" outlineLevel="0" collapsed="false">
      <c r="A155" s="270" t="s">
        <v>394</v>
      </c>
      <c r="B155" s="270"/>
      <c r="C155" s="271" t="n">
        <f aca="false">ROUND(+B152*B153*B154*B147,2)</f>
        <v>0</v>
      </c>
    </row>
    <row r="156" customFormat="false" ht="12.75" hidden="false" customHeight="false" outlineLevel="0" collapsed="false">
      <c r="A156" s="76" t="s">
        <v>395</v>
      </c>
      <c r="B156" s="225" t="n">
        <v>0.1</v>
      </c>
      <c r="C156" s="260"/>
    </row>
    <row r="157" customFormat="false" ht="12.75" hidden="false" customHeight="false" outlineLevel="0" collapsed="false">
      <c r="A157" s="270" t="s">
        <v>396</v>
      </c>
      <c r="B157" s="270"/>
      <c r="C157" s="320" t="n">
        <f aca="false">ROUND(B156*B154*B152*B147,2)</f>
        <v>0</v>
      </c>
    </row>
    <row r="158" customFormat="false" ht="12.75" hidden="false" customHeight="false" outlineLevel="0" collapsed="false">
      <c r="A158" s="268" t="s">
        <v>405</v>
      </c>
      <c r="B158" s="268"/>
      <c r="C158" s="272" t="n">
        <f aca="false">+C157+C155</f>
        <v>0</v>
      </c>
    </row>
    <row r="160" customFormat="false" ht="12.75" hidden="false" customHeight="true" outlineLevel="0" collapsed="false">
      <c r="A160" s="317" t="s">
        <v>406</v>
      </c>
      <c r="B160" s="317"/>
      <c r="C160" s="317"/>
    </row>
    <row r="161" customFormat="false" ht="12.75" hidden="false" customHeight="true" outlineLevel="0" collapsed="false">
      <c r="A161" s="322" t="s">
        <v>407</v>
      </c>
      <c r="B161" s="322"/>
      <c r="C161" s="322"/>
    </row>
    <row r="162" customFormat="false" ht="12.75" hidden="false" customHeight="false" outlineLevel="0" collapsed="false">
      <c r="A162" s="322"/>
      <c r="B162" s="322"/>
      <c r="C162" s="322"/>
    </row>
    <row r="163" customFormat="false" ht="12.75" hidden="false" customHeight="false" outlineLevel="0" collapsed="false">
      <c r="A163" s="322"/>
      <c r="B163" s="322"/>
      <c r="C163" s="322"/>
    </row>
    <row r="164" customFormat="false" ht="12.75" hidden="false" customHeight="false" outlineLevel="0" collapsed="false">
      <c r="A164" s="322"/>
      <c r="B164" s="322"/>
      <c r="C164" s="322"/>
    </row>
    <row r="165" customFormat="false" ht="12.75" hidden="false" customHeight="false" outlineLevel="0" collapsed="false">
      <c r="A165" s="323"/>
      <c r="B165" s="323"/>
      <c r="C165" s="323"/>
    </row>
    <row r="166" customFormat="false" ht="12.75" hidden="false" customHeight="true" outlineLevel="0" collapsed="false">
      <c r="A166" s="317" t="s">
        <v>408</v>
      </c>
      <c r="B166" s="317"/>
      <c r="C166" s="317"/>
    </row>
    <row r="167" customFormat="false" ht="12.75" hidden="false" customHeight="false" outlineLevel="0" collapsed="false">
      <c r="A167" s="128" t="s">
        <v>409</v>
      </c>
      <c r="B167" s="129" t="n">
        <f aca="false">+$B$7</f>
        <v>0</v>
      </c>
      <c r="C167" s="260"/>
    </row>
    <row r="168" customFormat="false" ht="12.75" hidden="false" customHeight="false" outlineLevel="0" collapsed="false">
      <c r="A168" s="128" t="s">
        <v>349</v>
      </c>
      <c r="B168" s="128" t="n">
        <v>30</v>
      </c>
      <c r="C168" s="260"/>
    </row>
    <row r="169" customFormat="false" ht="12.75" hidden="false" customHeight="false" outlineLevel="0" collapsed="false">
      <c r="A169" s="128" t="s">
        <v>410</v>
      </c>
      <c r="B169" s="128" t="n">
        <v>12</v>
      </c>
      <c r="C169" s="260"/>
    </row>
    <row r="170" customFormat="false" ht="12.75" hidden="false" customHeight="false" outlineLevel="0" collapsed="false">
      <c r="A170" s="246" t="s">
        <v>411</v>
      </c>
      <c r="B170" s="246"/>
      <c r="C170" s="260"/>
    </row>
    <row r="171" customFormat="false" ht="12.75" hidden="false" customHeight="false" outlineLevel="0" collapsed="false">
      <c r="A171" s="268" t="s">
        <v>412</v>
      </c>
      <c r="B171" s="268"/>
      <c r="C171" s="253" t="n">
        <f aca="false">+ROUND((B167/B168/B169)*B170,2)</f>
        <v>0</v>
      </c>
    </row>
    <row r="173" customFormat="false" ht="12.75" hidden="false" customHeight="true" outlineLevel="0" collapsed="false">
      <c r="A173" s="317" t="s">
        <v>413</v>
      </c>
      <c r="B173" s="317"/>
      <c r="C173" s="317"/>
    </row>
    <row r="174" customFormat="false" ht="12.75" hidden="false" customHeight="false" outlineLevel="0" collapsed="false">
      <c r="A174" s="128" t="s">
        <v>409</v>
      </c>
      <c r="B174" s="129" t="n">
        <f aca="false">+$B$7</f>
        <v>0</v>
      </c>
      <c r="C174" s="260"/>
    </row>
    <row r="175" customFormat="false" ht="12.75" hidden="false" customHeight="false" outlineLevel="0" collapsed="false">
      <c r="A175" s="128" t="s">
        <v>349</v>
      </c>
      <c r="B175" s="128" t="n">
        <v>30</v>
      </c>
      <c r="C175" s="260"/>
    </row>
    <row r="176" customFormat="false" ht="12.75" hidden="false" customHeight="false" outlineLevel="0" collapsed="false">
      <c r="A176" s="128" t="s">
        <v>410</v>
      </c>
      <c r="B176" s="128" t="n">
        <v>12</v>
      </c>
      <c r="C176" s="260"/>
    </row>
    <row r="177" customFormat="false" ht="12.75" hidden="false" customHeight="false" outlineLevel="0" collapsed="false">
      <c r="A177" s="110" t="s">
        <v>414</v>
      </c>
      <c r="B177" s="128" t="n">
        <v>5</v>
      </c>
      <c r="C177" s="260"/>
    </row>
    <row r="178" customFormat="false" ht="12.75" hidden="false" customHeight="false" outlineLevel="0" collapsed="false">
      <c r="A178" s="246" t="s">
        <v>415</v>
      </c>
      <c r="B178" s="274"/>
      <c r="C178" s="260"/>
    </row>
    <row r="179" customFormat="false" ht="12.75" hidden="false" customHeight="false" outlineLevel="0" collapsed="false">
      <c r="A179" s="246" t="s">
        <v>416</v>
      </c>
      <c r="B179" s="274"/>
      <c r="C179" s="260"/>
    </row>
    <row r="180" customFormat="false" ht="12.75" hidden="false" customHeight="false" outlineLevel="0" collapsed="false">
      <c r="A180" s="268" t="s">
        <v>417</v>
      </c>
      <c r="B180" s="268"/>
      <c r="C180" s="288" t="n">
        <f aca="false">ROUND(+B174/B175/B176*B177*B178*B179,2)</f>
        <v>0</v>
      </c>
    </row>
    <row r="182" customFormat="false" ht="12.75" hidden="false" customHeight="true" outlineLevel="0" collapsed="false">
      <c r="A182" s="317" t="s">
        <v>418</v>
      </c>
      <c r="B182" s="317"/>
      <c r="C182" s="317"/>
    </row>
    <row r="183" customFormat="false" ht="12.75" hidden="false" customHeight="false" outlineLevel="0" collapsed="false">
      <c r="A183" s="128" t="s">
        <v>409</v>
      </c>
      <c r="B183" s="129" t="n">
        <f aca="false">+$B$7</f>
        <v>0</v>
      </c>
      <c r="C183" s="260"/>
    </row>
    <row r="184" customFormat="false" ht="12.75" hidden="false" customHeight="false" outlineLevel="0" collapsed="false">
      <c r="A184" s="128" t="s">
        <v>349</v>
      </c>
      <c r="B184" s="128" t="n">
        <v>30</v>
      </c>
      <c r="C184" s="260"/>
    </row>
    <row r="185" customFormat="false" ht="12.75" hidden="false" customHeight="false" outlineLevel="0" collapsed="false">
      <c r="A185" s="128" t="s">
        <v>410</v>
      </c>
      <c r="B185" s="128" t="n">
        <v>12</v>
      </c>
      <c r="C185" s="260"/>
    </row>
    <row r="186" customFormat="false" ht="12.75" hidden="false" customHeight="false" outlineLevel="0" collapsed="false">
      <c r="A186" s="110" t="s">
        <v>419</v>
      </c>
      <c r="B186" s="128" t="n">
        <v>15</v>
      </c>
      <c r="C186" s="260"/>
    </row>
    <row r="187" customFormat="false" ht="12.75" hidden="false" customHeight="false" outlineLevel="0" collapsed="false">
      <c r="A187" s="246" t="s">
        <v>420</v>
      </c>
      <c r="B187" s="274"/>
      <c r="C187" s="260"/>
    </row>
    <row r="188" customFormat="false" ht="12.75" hidden="false" customHeight="false" outlineLevel="0" collapsed="false">
      <c r="A188" s="268" t="s">
        <v>421</v>
      </c>
      <c r="B188" s="268"/>
      <c r="C188" s="288" t="n">
        <f aca="false">ROUND(+B183/B184/B185*B186*B187,2)</f>
        <v>0</v>
      </c>
    </row>
    <row r="190" customFormat="false" ht="12.75" hidden="false" customHeight="true" outlineLevel="0" collapsed="false">
      <c r="A190" s="317" t="s">
        <v>422</v>
      </c>
      <c r="B190" s="317"/>
      <c r="C190" s="317"/>
    </row>
    <row r="191" customFormat="false" ht="12.75" hidden="false" customHeight="false" outlineLevel="0" collapsed="false">
      <c r="A191" s="128" t="s">
        <v>409</v>
      </c>
      <c r="B191" s="129" t="n">
        <f aca="false">+$B$7</f>
        <v>0</v>
      </c>
      <c r="C191" s="260"/>
    </row>
    <row r="192" customFormat="false" ht="12.75" hidden="false" customHeight="false" outlineLevel="0" collapsed="false">
      <c r="A192" s="128" t="s">
        <v>349</v>
      </c>
      <c r="B192" s="128" t="n">
        <v>30</v>
      </c>
      <c r="C192" s="260"/>
    </row>
    <row r="193" customFormat="false" ht="12.75" hidden="false" customHeight="false" outlineLevel="0" collapsed="false">
      <c r="A193" s="128" t="s">
        <v>410</v>
      </c>
      <c r="B193" s="128" t="n">
        <v>12</v>
      </c>
      <c r="C193" s="260"/>
    </row>
    <row r="194" customFormat="false" ht="12.75" hidden="false" customHeight="false" outlineLevel="0" collapsed="false">
      <c r="A194" s="110" t="s">
        <v>419</v>
      </c>
      <c r="B194" s="128" t="n">
        <v>5</v>
      </c>
      <c r="C194" s="260"/>
    </row>
    <row r="195" customFormat="false" ht="12.75" hidden="false" customHeight="false" outlineLevel="0" collapsed="false">
      <c r="A195" s="246" t="s">
        <v>423</v>
      </c>
      <c r="B195" s="274"/>
      <c r="C195" s="260"/>
    </row>
    <row r="196" customFormat="false" ht="12.75" hidden="false" customHeight="false" outlineLevel="0" collapsed="false">
      <c r="A196" s="268" t="s">
        <v>424</v>
      </c>
      <c r="B196" s="268"/>
      <c r="C196" s="288" t="n">
        <f aca="false">ROUND(+B191/B192/B193*B194*B195,2)</f>
        <v>0</v>
      </c>
    </row>
    <row r="198" customFormat="false" ht="12.75" hidden="false" customHeight="false" outlineLevel="0" collapsed="false">
      <c r="A198" s="285" t="s">
        <v>425</v>
      </c>
      <c r="B198" s="285"/>
      <c r="C198" s="285"/>
    </row>
    <row r="199" customFormat="false" ht="12.75" hidden="false" customHeight="false" outlineLevel="0" collapsed="false">
      <c r="A199" s="324" t="s">
        <v>197</v>
      </c>
      <c r="B199" s="325"/>
      <c r="C199" s="129" t="n">
        <f aca="false">+'Vigilante 12x36 Diurno Des'!D23-'Vigilante 12x36 Diurno Des'!D21</f>
        <v>0</v>
      </c>
    </row>
    <row r="200" customFormat="false" ht="12.75" hidden="false" customHeight="false" outlineLevel="0" collapsed="false">
      <c r="A200" s="324" t="s">
        <v>256</v>
      </c>
      <c r="B200" s="325"/>
      <c r="C200" s="129" t="n">
        <f aca="false">+'Vigilante 12x36 Diurno Des'!D68</f>
        <v>0</v>
      </c>
    </row>
    <row r="201" customFormat="false" ht="12.75" hidden="false" customHeight="false" outlineLevel="0" collapsed="false">
      <c r="A201" s="324" t="s">
        <v>287</v>
      </c>
      <c r="B201" s="325"/>
      <c r="C201" s="129" t="n">
        <f aca="false">+'Vigilante 12x36 Diurno Des'!D116</f>
        <v>0</v>
      </c>
    </row>
    <row r="202" customFormat="false" ht="12.75" hidden="false" customHeight="false" outlineLevel="0" collapsed="false">
      <c r="A202" s="324" t="s">
        <v>268</v>
      </c>
      <c r="B202" s="325"/>
      <c r="C202" s="129" t="n">
        <f aca="false">+'Vigilante 12x36 Diurno Des'!D107</f>
        <v>0</v>
      </c>
    </row>
    <row r="203" customFormat="false" ht="12.75" hidden="false" customHeight="false" outlineLevel="0" collapsed="false">
      <c r="A203" s="324" t="s">
        <v>276</v>
      </c>
      <c r="B203" s="325"/>
      <c r="C203" s="129" t="n">
        <f aca="false">+'Vigilante 12x36 Diurno Des'!D108</f>
        <v>0</v>
      </c>
    </row>
    <row r="204" customFormat="false" ht="12.75" hidden="false" customHeight="false" outlineLevel="0" collapsed="false">
      <c r="A204" s="324" t="s">
        <v>258</v>
      </c>
      <c r="B204" s="325"/>
      <c r="C204" s="129" t="n">
        <f aca="false">+'Vigilante 12x36 Diurno Des'!D79</f>
        <v>0</v>
      </c>
    </row>
    <row r="205" customFormat="false" ht="12.75" hidden="false" customHeight="false" outlineLevel="0" collapsed="false">
      <c r="A205" s="324" t="s">
        <v>337</v>
      </c>
      <c r="B205" s="325"/>
      <c r="C205" s="129" t="n">
        <f aca="false">SUM(C199:C204)</f>
        <v>0</v>
      </c>
    </row>
    <row r="206" customFormat="false" ht="12.75" hidden="false" customHeight="false" outlineLevel="0" collapsed="false">
      <c r="A206" s="324" t="s">
        <v>332</v>
      </c>
      <c r="B206" s="326" t="n">
        <v>220</v>
      </c>
      <c r="C206" s="327"/>
    </row>
    <row r="207" customFormat="false" ht="12.75" hidden="false" customHeight="false" outlineLevel="0" collapsed="false">
      <c r="A207" s="324" t="s">
        <v>338</v>
      </c>
      <c r="B207" s="325"/>
      <c r="C207" s="129" t="n">
        <f aca="false">ROUND(C205/B206,2)</f>
        <v>0</v>
      </c>
    </row>
    <row r="208" customFormat="false" ht="12.75" hidden="false" customHeight="false" outlineLevel="0" collapsed="false">
      <c r="A208" s="128" t="s">
        <v>426</v>
      </c>
      <c r="B208" s="295" t="n">
        <f aca="false">(365.25/12/2)/(7/7)</f>
        <v>15.21875</v>
      </c>
      <c r="C208" s="304"/>
    </row>
    <row r="209" customFormat="false" ht="12.75" hidden="false" customHeight="false" outlineLevel="0" collapsed="false">
      <c r="A209" s="268" t="s">
        <v>356</v>
      </c>
      <c r="B209" s="268"/>
      <c r="C209" s="272" t="n">
        <f aca="false">ROUND(+B208*C207,2)</f>
        <v>0</v>
      </c>
    </row>
    <row r="211" customFormat="false" ht="12.75" hidden="false" customHeight="true" outlineLevel="0" collapsed="false">
      <c r="A211" s="317" t="s">
        <v>427</v>
      </c>
      <c r="B211" s="317"/>
      <c r="C211" s="317"/>
    </row>
    <row r="212" customFormat="false" ht="12.75" hidden="false" customHeight="true" outlineLevel="0" collapsed="false">
      <c r="A212" s="328" t="s">
        <v>428</v>
      </c>
      <c r="B212" s="328"/>
      <c r="C212" s="328"/>
    </row>
    <row r="213" customFormat="false" ht="12.75" hidden="false" customHeight="false" outlineLevel="0" collapsed="false">
      <c r="A213" s="128" t="s">
        <v>409</v>
      </c>
      <c r="B213" s="129" t="n">
        <f aca="false">+$B$7</f>
        <v>0</v>
      </c>
      <c r="C213" s="260"/>
    </row>
    <row r="214" customFormat="false" ht="12.75" hidden="false" customHeight="false" outlineLevel="0" collapsed="false">
      <c r="A214" s="128" t="s">
        <v>429</v>
      </c>
      <c r="B214" s="129" t="n">
        <f aca="false">+B213*(1/3)</f>
        <v>0</v>
      </c>
      <c r="C214" s="260"/>
    </row>
    <row r="215" customFormat="false" ht="12.75" hidden="false" customHeight="false" outlineLevel="0" collapsed="false">
      <c r="A215" s="309" t="s">
        <v>391</v>
      </c>
      <c r="B215" s="310" t="n">
        <f aca="false">SUM(B213:B214)</f>
        <v>0</v>
      </c>
      <c r="C215" s="260"/>
    </row>
    <row r="216" customFormat="false" ht="12.75" hidden="false" customHeight="false" outlineLevel="0" collapsed="false">
      <c r="A216" s="128" t="s">
        <v>430</v>
      </c>
      <c r="B216" s="128" t="n">
        <v>4</v>
      </c>
      <c r="C216" s="260"/>
    </row>
    <row r="217" customFormat="false" ht="12.75" hidden="false" customHeight="false" outlineLevel="0" collapsed="false">
      <c r="A217" s="128" t="s">
        <v>410</v>
      </c>
      <c r="B217" s="128" t="n">
        <v>12</v>
      </c>
      <c r="C217" s="260"/>
    </row>
    <row r="218" customFormat="false" ht="12.75" hidden="false" customHeight="false" outlineLevel="0" collapsed="false">
      <c r="A218" s="246" t="s">
        <v>431</v>
      </c>
      <c r="B218" s="274"/>
      <c r="C218" s="260"/>
    </row>
    <row r="219" customFormat="false" ht="12.75" hidden="false" customHeight="false" outlineLevel="0" collapsed="false">
      <c r="A219" s="246" t="s">
        <v>432</v>
      </c>
      <c r="B219" s="274"/>
      <c r="C219" s="260"/>
    </row>
    <row r="220" customFormat="false" ht="12.75" hidden="false" customHeight="false" outlineLevel="0" collapsed="false">
      <c r="A220" s="268" t="s">
        <v>433</v>
      </c>
      <c r="B220" s="268"/>
      <c r="C220" s="288" t="n">
        <f aca="false">ROUND((((+B215*(B216/B217)/B217)*B218)*B219),2)</f>
        <v>0</v>
      </c>
    </row>
    <row r="221" customFormat="false" ht="12.75" hidden="false" customHeight="false" outlineLevel="0" collapsed="false">
      <c r="A221" s="268" t="s">
        <v>434</v>
      </c>
      <c r="B221" s="268"/>
      <c r="C221" s="268"/>
    </row>
    <row r="222" customFormat="false" ht="12.75" hidden="false" customHeight="false" outlineLevel="0" collapsed="false">
      <c r="A222" s="128" t="s">
        <v>409</v>
      </c>
      <c r="B222" s="129" t="n">
        <f aca="false">+'Vigilante 12x36 Diurno Des'!D23</f>
        <v>0</v>
      </c>
      <c r="C222" s="260"/>
    </row>
    <row r="223" customFormat="false" ht="12.75" hidden="false" customHeight="false" outlineLevel="0" collapsed="false">
      <c r="A223" s="128" t="s">
        <v>223</v>
      </c>
      <c r="B223" s="129" t="n">
        <f aca="false">+'Vigilante 12x36 Diurno Des'!D29</f>
        <v>0</v>
      </c>
      <c r="C223" s="260"/>
    </row>
    <row r="224" customFormat="false" ht="12.75" hidden="false" customHeight="false" outlineLevel="0" collapsed="false">
      <c r="A224" s="309" t="s">
        <v>391</v>
      </c>
      <c r="B224" s="310" t="n">
        <f aca="false">SUM(B222:B223)</f>
        <v>0</v>
      </c>
      <c r="C224" s="260"/>
    </row>
    <row r="225" customFormat="false" ht="12.75" hidden="false" customHeight="false" outlineLevel="0" collapsed="false">
      <c r="A225" s="128" t="s">
        <v>430</v>
      </c>
      <c r="B225" s="128" t="n">
        <v>4</v>
      </c>
      <c r="C225" s="260"/>
    </row>
    <row r="226" customFormat="false" ht="12.75" hidden="false" customHeight="false" outlineLevel="0" collapsed="false">
      <c r="A226" s="128" t="s">
        <v>410</v>
      </c>
      <c r="B226" s="128" t="n">
        <v>12</v>
      </c>
      <c r="C226" s="260"/>
    </row>
    <row r="227" customFormat="false" ht="12.75" hidden="false" customHeight="false" outlineLevel="0" collapsed="false">
      <c r="A227" s="246" t="s">
        <v>431</v>
      </c>
      <c r="B227" s="274"/>
      <c r="C227" s="260"/>
    </row>
    <row r="228" customFormat="false" ht="12.75" hidden="false" customHeight="false" outlineLevel="0" collapsed="false">
      <c r="A228" s="246" t="s">
        <v>432</v>
      </c>
      <c r="B228" s="274"/>
      <c r="C228" s="260"/>
    </row>
    <row r="229" customFormat="false" ht="12.75" hidden="false" customHeight="false" outlineLevel="0" collapsed="false">
      <c r="A229" s="110" t="s">
        <v>435</v>
      </c>
      <c r="B229" s="225" t="n">
        <f aca="false">+'Vigilante 12x36 Diurno Des'!C45</f>
        <v>0.368</v>
      </c>
      <c r="C229" s="260"/>
    </row>
    <row r="230" customFormat="false" ht="12.75" hidden="false" customHeight="false" outlineLevel="0" collapsed="false">
      <c r="A230" s="268" t="s">
        <v>436</v>
      </c>
      <c r="B230" s="268"/>
      <c r="C230" s="272" t="n">
        <f aca="false">ROUND((((B224*(B225/B226)*B227)*B228)*B229),2)</f>
        <v>0</v>
      </c>
    </row>
  </sheetData>
  <mergeCells count="44"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00:C100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46:C146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90:C190"/>
    <mergeCell ref="A196:B196"/>
    <mergeCell ref="A198:C198"/>
    <mergeCell ref="A209:B209"/>
    <mergeCell ref="A211:C211"/>
    <mergeCell ref="A212:C212"/>
    <mergeCell ref="A220:B220"/>
    <mergeCell ref="A221:C221"/>
    <mergeCell ref="A230:B230"/>
  </mergeCells>
  <printOptions headings="false" gridLines="false" gridLinesSet="true" horizontalCentered="false" verticalCentered="false"/>
  <pageMargins left="0.7875" right="0.157638888888889" top="0.39375" bottom="0.354861111111111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T24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25" activeCellId="0" sqref="F25"/>
    </sheetView>
  </sheetViews>
  <sheetFormatPr defaultRowHeight="12.75" zeroHeight="false" outlineLevelRow="0" outlineLevelCol="0"/>
  <cols>
    <col collapsed="false" customWidth="true" hidden="false" outlineLevel="0" max="2" min="1" style="34" width="9"/>
    <col collapsed="false" customWidth="true" hidden="false" outlineLevel="0" max="3" min="3" style="34" width="12.88"/>
    <col collapsed="false" customWidth="true" hidden="false" outlineLevel="0" max="4" min="4" style="34" width="18.63"/>
    <col collapsed="false" customWidth="true" hidden="false" outlineLevel="0" max="5" min="5" style="34" width="14.25"/>
    <col collapsed="false" customWidth="true" hidden="false" outlineLevel="0" max="6" min="6" style="34" width="13"/>
    <col collapsed="false" customWidth="true" hidden="false" outlineLevel="0" max="12" min="7" style="34" width="15.88"/>
    <col collapsed="false" customWidth="true" hidden="false" outlineLevel="0" max="13" min="13" style="34" width="16.63"/>
    <col collapsed="false" customWidth="true" hidden="false" outlineLevel="0" max="14" min="14" style="34" width="13"/>
    <col collapsed="false" customWidth="true" hidden="false" outlineLevel="0" max="15" min="15" style="34" width="9"/>
    <col collapsed="false" customWidth="true" hidden="false" outlineLevel="0" max="16" min="16" style="34" width="13"/>
    <col collapsed="false" customWidth="true" hidden="false" outlineLevel="0" max="17" min="17" style="34" width="9"/>
    <col collapsed="false" customWidth="true" hidden="false" outlineLevel="0" max="18" min="18" style="34" width="13"/>
    <col collapsed="false" customWidth="true" hidden="false" outlineLevel="0" max="19" min="19" style="34" width="9"/>
    <col collapsed="false" customWidth="true" hidden="false" outlineLevel="0" max="20" min="20" style="34" width="12.13"/>
    <col collapsed="false" customWidth="true" hidden="false" outlineLevel="0" max="1025" min="21" style="34" width="9"/>
  </cols>
  <sheetData>
    <row r="1" customFormat="false" ht="12.75" hidden="false" customHeight="true" outlineLevel="0" collapsed="false">
      <c r="B1" s="35" t="s">
        <v>81</v>
      </c>
      <c r="C1" s="35" t="s">
        <v>82</v>
      </c>
      <c r="D1" s="35" t="s">
        <v>83</v>
      </c>
      <c r="E1" s="36" t="s">
        <v>84</v>
      </c>
      <c r="F1" s="36"/>
      <c r="G1" s="36" t="s">
        <v>85</v>
      </c>
      <c r="H1" s="36"/>
      <c r="I1" s="36" t="s">
        <v>86</v>
      </c>
      <c r="J1" s="36"/>
      <c r="K1" s="36" t="s">
        <v>87</v>
      </c>
      <c r="L1" s="36"/>
      <c r="M1" s="36" t="s">
        <v>88</v>
      </c>
      <c r="N1" s="36"/>
      <c r="O1" s="36" t="s">
        <v>89</v>
      </c>
      <c r="P1" s="36"/>
      <c r="Q1" s="36" t="s">
        <v>90</v>
      </c>
      <c r="R1" s="36"/>
      <c r="S1" s="35" t="s">
        <v>91</v>
      </c>
      <c r="T1" s="35" t="s">
        <v>92</v>
      </c>
    </row>
    <row r="2" customFormat="false" ht="36" hidden="false" customHeight="false" outlineLevel="0" collapsed="false">
      <c r="B2" s="35"/>
      <c r="C2" s="35"/>
      <c r="D2" s="35"/>
      <c r="E2" s="35" t="s">
        <v>91</v>
      </c>
      <c r="F2" s="35" t="s">
        <v>92</v>
      </c>
      <c r="G2" s="35" t="s">
        <v>91</v>
      </c>
      <c r="H2" s="35" t="s">
        <v>92</v>
      </c>
      <c r="I2" s="35" t="s">
        <v>91</v>
      </c>
      <c r="J2" s="35" t="s">
        <v>92</v>
      </c>
      <c r="K2" s="35" t="s">
        <v>91</v>
      </c>
      <c r="L2" s="35" t="s">
        <v>92</v>
      </c>
      <c r="M2" s="35" t="s">
        <v>91</v>
      </c>
      <c r="N2" s="35" t="s">
        <v>92</v>
      </c>
      <c r="O2" s="35" t="s">
        <v>91</v>
      </c>
      <c r="P2" s="35" t="s">
        <v>92</v>
      </c>
      <c r="Q2" s="35" t="s">
        <v>91</v>
      </c>
      <c r="R2" s="35" t="s">
        <v>92</v>
      </c>
      <c r="S2" s="35"/>
      <c r="T2" s="35"/>
    </row>
    <row r="3" s="42" customFormat="true" ht="20.1" hidden="false" customHeight="true" outlineLevel="0" collapsed="false">
      <c r="A3" s="37" t="s">
        <v>93</v>
      </c>
      <c r="B3" s="38" t="s">
        <v>94</v>
      </c>
      <c r="C3" s="38" t="s">
        <v>95</v>
      </c>
      <c r="D3" s="39" t="s">
        <v>96</v>
      </c>
      <c r="E3" s="40" t="n">
        <f aca="false">+'Custo LOTE I'!G22</f>
        <v>11</v>
      </c>
      <c r="F3" s="40" t="n">
        <f aca="false">+'Custo LOTE I'!H22</f>
        <v>22</v>
      </c>
      <c r="G3" s="40" t="n">
        <f aca="false">+'Custo LOTE II'!G39</f>
        <v>34</v>
      </c>
      <c r="H3" s="40" t="n">
        <f aca="false">+'Custo LOTE II'!H39</f>
        <v>68</v>
      </c>
      <c r="I3" s="40" t="n">
        <f aca="false">+'Custo LOTE III'!G26</f>
        <v>11</v>
      </c>
      <c r="J3" s="40" t="n">
        <f aca="false">+'Custo LOTE III'!H26</f>
        <v>22</v>
      </c>
      <c r="K3" s="40" t="n">
        <f aca="false">+'Custo LOTE IV'!G21</f>
        <v>18</v>
      </c>
      <c r="L3" s="40" t="n">
        <f aca="false">+'Custo LOTE IV'!H21</f>
        <v>36</v>
      </c>
      <c r="M3" s="40" t="n">
        <f aca="false">+'Custo LOTE V'!G25</f>
        <v>25</v>
      </c>
      <c r="N3" s="40" t="n">
        <f aca="false">+'Custo LOTE V'!H25</f>
        <v>50</v>
      </c>
      <c r="O3" s="40" t="n">
        <f aca="false">+'Custo LOTE VI'!G16</f>
        <v>8</v>
      </c>
      <c r="P3" s="40" t="n">
        <f aca="false">+'Custo LOTE VI'!H16</f>
        <v>16</v>
      </c>
      <c r="Q3" s="40" t="n">
        <f aca="false">+'Custo LOTE VII'!G19</f>
        <v>8</v>
      </c>
      <c r="R3" s="40" t="n">
        <f aca="false">+'Custo LOTE VII'!H19</f>
        <v>16</v>
      </c>
      <c r="S3" s="41" t="n">
        <f aca="false">+E3+G3+I3+K3+M3+O3+Q3</f>
        <v>115</v>
      </c>
      <c r="T3" s="41" t="n">
        <f aca="false">+F3+H3+J3+L3+N3+P3+R3</f>
        <v>230</v>
      </c>
    </row>
    <row r="4" s="42" customFormat="true" ht="20.1" hidden="false" customHeight="true" outlineLevel="0" collapsed="false">
      <c r="A4" s="37" t="s">
        <v>93</v>
      </c>
      <c r="B4" s="38" t="s">
        <v>94</v>
      </c>
      <c r="C4" s="38" t="s">
        <v>97</v>
      </c>
      <c r="D4" s="39" t="s">
        <v>96</v>
      </c>
      <c r="E4" s="40" t="n">
        <f aca="false">+'Custo LOTE I'!G23</f>
        <v>11</v>
      </c>
      <c r="F4" s="40" t="n">
        <f aca="false">+'Custo LOTE I'!H23</f>
        <v>22</v>
      </c>
      <c r="G4" s="40" t="n">
        <f aca="false">+'Custo LOTE II'!G40</f>
        <v>33</v>
      </c>
      <c r="H4" s="40" t="n">
        <f aca="false">+'Custo LOTE II'!H40</f>
        <v>66</v>
      </c>
      <c r="I4" s="40" t="n">
        <f aca="false">+'Custo LOTE III'!G27</f>
        <v>13</v>
      </c>
      <c r="J4" s="40" t="n">
        <f aca="false">+'Custo LOTE III'!H27</f>
        <v>26</v>
      </c>
      <c r="K4" s="40" t="n">
        <f aca="false">+'Custo LOTE IV'!G22</f>
        <v>19</v>
      </c>
      <c r="L4" s="40" t="n">
        <f aca="false">+'Custo LOTE IV'!H22</f>
        <v>38</v>
      </c>
      <c r="M4" s="40" t="n">
        <f aca="false">+'Custo LOTE V'!G26</f>
        <v>24</v>
      </c>
      <c r="N4" s="40" t="n">
        <f aca="false">+'Custo LOTE V'!H26</f>
        <v>48</v>
      </c>
      <c r="O4" s="40" t="n">
        <f aca="false">+'Custo LOTE VI'!G17</f>
        <v>9</v>
      </c>
      <c r="P4" s="40" t="n">
        <f aca="false">+'Custo LOTE VI'!H17</f>
        <v>18</v>
      </c>
      <c r="Q4" s="40" t="n">
        <f aca="false">+'Custo LOTE VII'!G20</f>
        <v>8</v>
      </c>
      <c r="R4" s="40" t="n">
        <f aca="false">+'Custo LOTE VII'!H20</f>
        <v>16</v>
      </c>
      <c r="S4" s="41" t="n">
        <f aca="false">+E4+G4+I4+K4+M4+O4+Q4</f>
        <v>117</v>
      </c>
      <c r="T4" s="41" t="n">
        <f aca="false">+F4+H4+J4+L4+N4+P4+R4</f>
        <v>234</v>
      </c>
    </row>
    <row r="5" s="42" customFormat="true" ht="20.1" hidden="false" customHeight="true" outlineLevel="0" collapsed="false">
      <c r="A5" s="37" t="s">
        <v>98</v>
      </c>
      <c r="B5" s="38" t="s">
        <v>94</v>
      </c>
      <c r="C5" s="38" t="s">
        <v>95</v>
      </c>
      <c r="D5" s="39" t="s">
        <v>96</v>
      </c>
      <c r="E5" s="40"/>
      <c r="F5" s="40"/>
      <c r="G5" s="40" t="n">
        <f aca="false">+'Custo LOTE II'!G44</f>
        <v>5</v>
      </c>
      <c r="H5" s="40" t="n">
        <f aca="false">+'Custo LOTE II'!H44</f>
        <v>10</v>
      </c>
      <c r="I5" s="40"/>
      <c r="J5" s="40"/>
      <c r="K5" s="40" t="n">
        <f aca="false">+'Custo LOTE IV'!G26</f>
        <v>2</v>
      </c>
      <c r="L5" s="40" t="n">
        <f aca="false">+'Custo LOTE IV'!H26</f>
        <v>4</v>
      </c>
      <c r="M5" s="40" t="n">
        <f aca="false">+'Custo LOTE V'!G29</f>
        <v>4</v>
      </c>
      <c r="N5" s="40" t="n">
        <f aca="false">+'Custo LOTE V'!H29</f>
        <v>8</v>
      </c>
      <c r="O5" s="40" t="n">
        <f aca="false">+'Custo LOTE VI'!G20</f>
        <v>2</v>
      </c>
      <c r="P5" s="40" t="n">
        <f aca="false">+'Custo LOTE VI'!H20</f>
        <v>4</v>
      </c>
      <c r="Q5" s="40"/>
      <c r="R5" s="40"/>
      <c r="S5" s="41"/>
      <c r="T5" s="41"/>
    </row>
    <row r="6" s="42" customFormat="true" ht="20.1" hidden="false" customHeight="true" outlineLevel="0" collapsed="false">
      <c r="A6" s="37" t="s">
        <v>98</v>
      </c>
      <c r="B6" s="38" t="s">
        <v>94</v>
      </c>
      <c r="C6" s="38" t="s">
        <v>97</v>
      </c>
      <c r="D6" s="39" t="s">
        <v>96</v>
      </c>
      <c r="E6" s="40"/>
      <c r="F6" s="40"/>
      <c r="G6" s="40" t="n">
        <f aca="false">+'Custo LOTE II'!G45</f>
        <v>2</v>
      </c>
      <c r="H6" s="40" t="n">
        <f aca="false">+'Custo LOTE II'!H45</f>
        <v>4</v>
      </c>
      <c r="I6" s="40"/>
      <c r="J6" s="40"/>
      <c r="K6" s="40"/>
      <c r="L6" s="40"/>
      <c r="M6" s="40"/>
      <c r="N6" s="40"/>
      <c r="O6" s="40"/>
      <c r="P6" s="40"/>
      <c r="Q6" s="40"/>
      <c r="R6" s="40"/>
      <c r="S6" s="41"/>
      <c r="T6" s="41"/>
    </row>
    <row r="7" s="42" customFormat="true" ht="20.1" hidden="false" customHeight="true" outlineLevel="0" collapsed="false">
      <c r="A7" s="37" t="s">
        <v>93</v>
      </c>
      <c r="B7" s="38" t="s">
        <v>99</v>
      </c>
      <c r="C7" s="38" t="s">
        <v>100</v>
      </c>
      <c r="D7" s="39" t="s">
        <v>101</v>
      </c>
      <c r="E7" s="40" t="n">
        <f aca="false">+'Custo LOTE I'!G24</f>
        <v>4</v>
      </c>
      <c r="F7" s="40" t="n">
        <f aca="false">+'Custo LOTE I'!H24</f>
        <v>4</v>
      </c>
      <c r="G7" s="40" t="n">
        <f aca="false">+'Custo LOTE II'!G41</f>
        <v>20</v>
      </c>
      <c r="H7" s="40" t="n">
        <f aca="false">+'Custo LOTE II'!H41</f>
        <v>20</v>
      </c>
      <c r="I7" s="40"/>
      <c r="J7" s="40"/>
      <c r="K7" s="40" t="n">
        <f aca="false">+'Custo LOTE IV'!G23</f>
        <v>5</v>
      </c>
      <c r="L7" s="40" t="n">
        <f aca="false">+'Custo LOTE IV'!H23</f>
        <v>5</v>
      </c>
      <c r="M7" s="40" t="n">
        <f aca="false">+'Custo LOTE V'!G27</f>
        <v>14</v>
      </c>
      <c r="N7" s="40" t="n">
        <f aca="false">+'Custo LOTE V'!H27</f>
        <v>14</v>
      </c>
      <c r="O7" s="40" t="n">
        <f aca="false">+'Custo LOTE VI'!G18</f>
        <v>4</v>
      </c>
      <c r="P7" s="40" t="n">
        <f aca="false">+'Custo LOTE VI'!H18</f>
        <v>4</v>
      </c>
      <c r="Q7" s="40"/>
      <c r="R7" s="40"/>
      <c r="S7" s="41" t="n">
        <f aca="false">+E7+G7+I7+K7+M7+O7+Q7</f>
        <v>47</v>
      </c>
      <c r="T7" s="41" t="n">
        <f aca="false">+F7+H7+J7+L7+N7+P7+R7</f>
        <v>47</v>
      </c>
    </row>
    <row r="8" s="42" customFormat="true" ht="20.1" hidden="false" customHeight="true" outlineLevel="0" collapsed="false">
      <c r="A8" s="37" t="s">
        <v>93</v>
      </c>
      <c r="B8" s="38" t="s">
        <v>102</v>
      </c>
      <c r="C8" s="38" t="s">
        <v>103</v>
      </c>
      <c r="D8" s="39" t="s">
        <v>101</v>
      </c>
      <c r="E8" s="40" t="n">
        <f aca="false">+'Custo LOTE I'!G26</f>
        <v>1</v>
      </c>
      <c r="F8" s="40" t="n">
        <f aca="false">+'Custo LOTE I'!H26</f>
        <v>1</v>
      </c>
      <c r="G8" s="40" t="n">
        <f aca="false">+'Custo LOTE II'!G42</f>
        <v>1</v>
      </c>
      <c r="H8" s="40" t="n">
        <f aca="false">+'Custo LOTE II'!H42</f>
        <v>1</v>
      </c>
      <c r="I8" s="40" t="n">
        <f aca="false">+'Custo LOTE III'!G28</f>
        <v>2</v>
      </c>
      <c r="J8" s="40" t="n">
        <f aca="false">+'Custo LOTE III'!H28</f>
        <v>2</v>
      </c>
      <c r="K8" s="40" t="n">
        <f aca="false">+'Custo LOTE IV'!G24</f>
        <v>3</v>
      </c>
      <c r="L8" s="40" t="n">
        <f aca="false">+'Custo LOTE IV'!H24</f>
        <v>3</v>
      </c>
      <c r="M8" s="40"/>
      <c r="N8" s="40"/>
      <c r="O8" s="40"/>
      <c r="P8" s="40"/>
      <c r="Q8" s="40" t="n">
        <f aca="false">+'Custo LOTE VII'!G21</f>
        <v>1</v>
      </c>
      <c r="R8" s="40" t="n">
        <f aca="false">+'Custo LOTE VII'!H21</f>
        <v>1</v>
      </c>
      <c r="S8" s="41" t="n">
        <f aca="false">+E8+G8+I8+K8+M8+O8+Q8</f>
        <v>8</v>
      </c>
      <c r="T8" s="41" t="n">
        <f aca="false">+F8+H8+J8+L8+N8+P8+R8</f>
        <v>8</v>
      </c>
    </row>
    <row r="9" s="42" customFormat="true" ht="20.1" hidden="false" customHeight="true" outlineLevel="0" collapsed="false">
      <c r="E9" s="41" t="n">
        <f aca="false">SUM(E3:E8)</f>
        <v>27</v>
      </c>
      <c r="F9" s="41" t="n">
        <f aca="false">SUM(F3:F8)</f>
        <v>49</v>
      </c>
      <c r="G9" s="41" t="n">
        <f aca="false">SUM(G3:G8)</f>
        <v>95</v>
      </c>
      <c r="H9" s="41" t="n">
        <f aca="false">SUM(H3:H8)</f>
        <v>169</v>
      </c>
      <c r="I9" s="41" t="n">
        <f aca="false">SUM(I3:I8)</f>
        <v>26</v>
      </c>
      <c r="J9" s="41" t="n">
        <f aca="false">SUM(J3:J8)</f>
        <v>50</v>
      </c>
      <c r="K9" s="41" t="n">
        <f aca="false">SUM(K3:K8)</f>
        <v>47</v>
      </c>
      <c r="L9" s="41" t="n">
        <f aca="false">SUM(L3:L8)</f>
        <v>86</v>
      </c>
      <c r="M9" s="41" t="n">
        <f aca="false">SUM(M3:M8)</f>
        <v>67</v>
      </c>
      <c r="N9" s="41" t="n">
        <f aca="false">SUM(N3:N8)</f>
        <v>120</v>
      </c>
      <c r="O9" s="41" t="n">
        <f aca="false">SUM(O3:O8)</f>
        <v>23</v>
      </c>
      <c r="P9" s="41" t="n">
        <f aca="false">SUM(P3:P8)</f>
        <v>42</v>
      </c>
      <c r="Q9" s="41" t="n">
        <f aca="false">SUM(Q3:Q8)</f>
        <v>17</v>
      </c>
      <c r="R9" s="41" t="n">
        <f aca="false">SUM(R3:R8)</f>
        <v>33</v>
      </c>
      <c r="S9" s="41" t="n">
        <f aca="false">SUM(S3:S8)</f>
        <v>287</v>
      </c>
      <c r="T9" s="41" t="n">
        <f aca="false">SUM(T3:T8)</f>
        <v>519</v>
      </c>
    </row>
    <row r="10" s="42" customFormat="true" ht="20.1" hidden="false" customHeight="true" outlineLevel="0" collapsed="false"/>
    <row r="11" s="42" customFormat="true" ht="20.1" hidden="false" customHeight="true" outlineLevel="0" collapsed="false"/>
    <row r="12" s="42" customFormat="true" ht="28.5" hidden="false" customHeight="true" outlineLevel="0" collapsed="false">
      <c r="E12" s="43" t="s">
        <v>104</v>
      </c>
      <c r="F12" s="43" t="s">
        <v>105</v>
      </c>
      <c r="G12" s="44" t="s">
        <v>84</v>
      </c>
      <c r="H12" s="44" t="s">
        <v>85</v>
      </c>
      <c r="I12" s="44" t="s">
        <v>86</v>
      </c>
      <c r="J12" s="44" t="s">
        <v>87</v>
      </c>
      <c r="K12" s="44" t="s">
        <v>88</v>
      </c>
      <c r="L12" s="44" t="s">
        <v>89</v>
      </c>
      <c r="M12" s="44" t="s">
        <v>90</v>
      </c>
    </row>
    <row r="13" s="42" customFormat="true" ht="20.1" hidden="false" customHeight="true" outlineLevel="0" collapsed="false">
      <c r="A13" s="37" t="s">
        <v>93</v>
      </c>
      <c r="B13" s="38" t="s">
        <v>94</v>
      </c>
      <c r="C13" s="38" t="s">
        <v>95</v>
      </c>
      <c r="D13" s="45" t="s">
        <v>96</v>
      </c>
      <c r="E13" s="46" t="n">
        <f aca="false">+'Vigilante 12X36 Diurno Arm'!$D$153</f>
        <v>0</v>
      </c>
      <c r="F13" s="47" t="n">
        <f aca="false">+E13*2</f>
        <v>0</v>
      </c>
      <c r="G13" s="47" t="n">
        <f aca="false">+E13*F3</f>
        <v>0</v>
      </c>
      <c r="H13" s="47" t="n">
        <f aca="false">+E13*H3</f>
        <v>0</v>
      </c>
      <c r="I13" s="47" t="n">
        <f aca="false">+E13*J3</f>
        <v>0</v>
      </c>
      <c r="J13" s="47" t="n">
        <f aca="false">+E13*L3</f>
        <v>0</v>
      </c>
      <c r="K13" s="47" t="n">
        <f aca="false">+N3*E13</f>
        <v>0</v>
      </c>
      <c r="L13" s="47" t="n">
        <f aca="false">+P3*E13</f>
        <v>0</v>
      </c>
      <c r="M13" s="47" t="n">
        <f aca="false">+R3*E13</f>
        <v>0</v>
      </c>
    </row>
    <row r="14" s="42" customFormat="true" ht="20.1" hidden="false" customHeight="true" outlineLevel="0" collapsed="false">
      <c r="A14" s="37" t="s">
        <v>93</v>
      </c>
      <c r="B14" s="38" t="s">
        <v>94</v>
      </c>
      <c r="C14" s="38" t="s">
        <v>97</v>
      </c>
      <c r="D14" s="45" t="s">
        <v>96</v>
      </c>
      <c r="E14" s="46" t="n">
        <f aca="false">+'Vigilante 12x36 Noturno Arm'!$D$153</f>
        <v>0</v>
      </c>
      <c r="F14" s="47" t="n">
        <f aca="false">+E14*2</f>
        <v>0</v>
      </c>
      <c r="G14" s="47" t="n">
        <f aca="false">+E14*F4</f>
        <v>0</v>
      </c>
      <c r="H14" s="47" t="n">
        <f aca="false">+E14*H4</f>
        <v>0</v>
      </c>
      <c r="I14" s="47" t="n">
        <f aca="false">+E14*J4</f>
        <v>0</v>
      </c>
      <c r="J14" s="47" t="n">
        <f aca="false">+E14*L4</f>
        <v>0</v>
      </c>
      <c r="K14" s="47" t="n">
        <f aca="false">+N4*E14</f>
        <v>0</v>
      </c>
      <c r="L14" s="47" t="n">
        <f aca="false">+P4*E14</f>
        <v>0</v>
      </c>
      <c r="M14" s="47" t="n">
        <f aca="false">+R4*E14</f>
        <v>0</v>
      </c>
    </row>
    <row r="15" s="42" customFormat="true" ht="20.1" hidden="false" customHeight="true" outlineLevel="0" collapsed="false">
      <c r="A15" s="37" t="s">
        <v>98</v>
      </c>
      <c r="B15" s="38" t="s">
        <v>94</v>
      </c>
      <c r="C15" s="38" t="s">
        <v>95</v>
      </c>
      <c r="D15" s="45" t="s">
        <v>96</v>
      </c>
      <c r="E15" s="46" t="n">
        <f aca="false">+'Vigilante 12x36 Diurno Des'!D153</f>
        <v>0</v>
      </c>
      <c r="F15" s="47" t="n">
        <f aca="false">+E15*2</f>
        <v>0</v>
      </c>
      <c r="G15" s="47" t="n">
        <f aca="false">+E15*F5</f>
        <v>0</v>
      </c>
      <c r="H15" s="47" t="n">
        <f aca="false">+E15*H5</f>
        <v>0</v>
      </c>
      <c r="I15" s="47"/>
      <c r="J15" s="47" t="n">
        <f aca="false">+E15*L5</f>
        <v>0</v>
      </c>
      <c r="K15" s="47" t="n">
        <f aca="false">+N5*E15</f>
        <v>0</v>
      </c>
      <c r="L15" s="47" t="n">
        <f aca="false">+P5*E15</f>
        <v>0</v>
      </c>
      <c r="M15" s="47"/>
    </row>
    <row r="16" s="42" customFormat="true" ht="20.1" hidden="false" customHeight="true" outlineLevel="0" collapsed="false">
      <c r="A16" s="37" t="s">
        <v>98</v>
      </c>
      <c r="B16" s="38" t="s">
        <v>94</v>
      </c>
      <c r="C16" s="38" t="s">
        <v>97</v>
      </c>
      <c r="D16" s="45" t="s">
        <v>96</v>
      </c>
      <c r="E16" s="46" t="n">
        <f aca="false">+'Vigilante 12x36 Noturno Des'!D153</f>
        <v>0</v>
      </c>
      <c r="F16" s="47" t="n">
        <f aca="false">+E16*2</f>
        <v>0</v>
      </c>
      <c r="G16" s="47" t="n">
        <f aca="false">+E16*F6</f>
        <v>0</v>
      </c>
      <c r="H16" s="47" t="n">
        <f aca="false">+E16*H6</f>
        <v>0</v>
      </c>
      <c r="I16" s="47"/>
      <c r="J16" s="47"/>
      <c r="K16" s="47"/>
      <c r="L16" s="47"/>
      <c r="M16" s="47"/>
    </row>
    <row r="17" s="42" customFormat="true" ht="20.1" hidden="false" customHeight="true" outlineLevel="0" collapsed="false">
      <c r="A17" s="37" t="s">
        <v>93</v>
      </c>
      <c r="B17" s="38" t="s">
        <v>99</v>
      </c>
      <c r="C17" s="38" t="s">
        <v>100</v>
      </c>
      <c r="D17" s="45" t="s">
        <v>101</v>
      </c>
      <c r="E17" s="46" t="n">
        <f aca="false">+'Vigilante 5x2 12h Arm'!$D$156</f>
        <v>0</v>
      </c>
      <c r="F17" s="47" t="n">
        <f aca="false">+E17</f>
        <v>0</v>
      </c>
      <c r="G17" s="47" t="n">
        <f aca="false">+E17*F7</f>
        <v>0</v>
      </c>
      <c r="H17" s="47" t="n">
        <f aca="false">+E17*H7</f>
        <v>0</v>
      </c>
      <c r="I17" s="47" t="n">
        <f aca="false">+E17*J7</f>
        <v>0</v>
      </c>
      <c r="J17" s="47" t="n">
        <f aca="false">+E17*L7</f>
        <v>0</v>
      </c>
      <c r="K17" s="47" t="n">
        <f aca="false">+N7*E17</f>
        <v>0</v>
      </c>
      <c r="L17" s="47" t="n">
        <f aca="false">+P7*E17</f>
        <v>0</v>
      </c>
      <c r="M17" s="47" t="n">
        <f aca="false">+R7*E17</f>
        <v>0</v>
      </c>
    </row>
    <row r="18" s="42" customFormat="true" ht="20.1" hidden="false" customHeight="true" outlineLevel="0" collapsed="false">
      <c r="A18" s="37" t="s">
        <v>93</v>
      </c>
      <c r="B18" s="38" t="s">
        <v>102</v>
      </c>
      <c r="C18" s="38" t="s">
        <v>103</v>
      </c>
      <c r="D18" s="45" t="s">
        <v>101</v>
      </c>
      <c r="E18" s="47" t="n">
        <f aca="false">+'Vigilante 44h Arm'!$D$155</f>
        <v>0</v>
      </c>
      <c r="F18" s="47" t="n">
        <f aca="false">+E18</f>
        <v>0</v>
      </c>
      <c r="G18" s="47" t="n">
        <f aca="false">+E18*F8</f>
        <v>0</v>
      </c>
      <c r="H18" s="47" t="n">
        <f aca="false">+E18*H8</f>
        <v>0</v>
      </c>
      <c r="I18" s="47" t="n">
        <f aca="false">+E18*J8</f>
        <v>0</v>
      </c>
      <c r="J18" s="47" t="n">
        <f aca="false">+E18*L8</f>
        <v>0</v>
      </c>
      <c r="K18" s="47" t="n">
        <f aca="false">+N8*E18</f>
        <v>0</v>
      </c>
      <c r="L18" s="47" t="n">
        <f aca="false">+P8*E18</f>
        <v>0</v>
      </c>
      <c r="M18" s="47" t="n">
        <f aca="false">+R8*E18</f>
        <v>0</v>
      </c>
    </row>
    <row r="19" s="42" customFormat="true" ht="20.1" hidden="false" customHeight="true" outlineLevel="0" collapsed="false">
      <c r="E19" s="48"/>
      <c r="F19" s="48"/>
      <c r="G19" s="48"/>
      <c r="H19" s="48"/>
      <c r="I19" s="48"/>
      <c r="J19" s="48"/>
      <c r="K19" s="48"/>
      <c r="L19" s="48"/>
      <c r="M19" s="48"/>
    </row>
    <row r="20" s="42" customFormat="true" ht="20.1" hidden="false" customHeight="true" outlineLevel="0" collapsed="false">
      <c r="E20" s="49" t="s">
        <v>106</v>
      </c>
      <c r="F20" s="49"/>
      <c r="G20" s="50" t="n">
        <f aca="false">SUM(G13:G18)</f>
        <v>0</v>
      </c>
      <c r="H20" s="50" t="n">
        <f aca="false">SUM(H13:H18)</f>
        <v>0</v>
      </c>
      <c r="I20" s="50" t="n">
        <f aca="false">SUM(I13:I18)</f>
        <v>0</v>
      </c>
      <c r="J20" s="50" t="n">
        <f aca="false">SUM(J13:J18)</f>
        <v>0</v>
      </c>
      <c r="K20" s="50" t="n">
        <f aca="false">SUM(K13:K18)</f>
        <v>0</v>
      </c>
      <c r="L20" s="50" t="n">
        <f aca="false">SUM(L13:L18)</f>
        <v>0</v>
      </c>
      <c r="M20" s="50" t="n">
        <f aca="false">SUM(M13:M18)</f>
        <v>0</v>
      </c>
    </row>
    <row r="21" s="42" customFormat="true" ht="20.1" hidden="false" customHeight="true" outlineLevel="0" collapsed="false">
      <c r="E21" s="49" t="s">
        <v>107</v>
      </c>
      <c r="F21" s="49"/>
      <c r="G21" s="51" t="n">
        <f aca="false">+G20*12</f>
        <v>0</v>
      </c>
      <c r="H21" s="51" t="n">
        <f aca="false">+H20*12</f>
        <v>0</v>
      </c>
      <c r="I21" s="52" t="n">
        <f aca="false">+I20*12</f>
        <v>0</v>
      </c>
      <c r="J21" s="51" t="n">
        <f aca="false">+J20*12</f>
        <v>0</v>
      </c>
      <c r="K21" s="51" t="n">
        <f aca="false">+K20*12</f>
        <v>0</v>
      </c>
      <c r="L21" s="51" t="n">
        <f aca="false">+L20*12</f>
        <v>0</v>
      </c>
      <c r="M21" s="51" t="n">
        <f aca="false">+M20*12</f>
        <v>0</v>
      </c>
    </row>
    <row r="22" customFormat="false" ht="12.75" hidden="false" customHeight="false" outlineLevel="0" collapsed="false">
      <c r="E22" s="53"/>
      <c r="F22" s="53"/>
      <c r="G22" s="54"/>
      <c r="H22" s="54"/>
      <c r="I22" s="54"/>
      <c r="J22" s="54"/>
      <c r="K22" s="54"/>
      <c r="L22" s="54"/>
      <c r="M22" s="54"/>
    </row>
    <row r="23" s="55" customFormat="true" ht="36" hidden="false" customHeight="true" outlineLevel="0" collapsed="false">
      <c r="E23" s="56"/>
      <c r="F23" s="56"/>
      <c r="G23" s="56"/>
      <c r="H23" s="56"/>
      <c r="I23" s="56"/>
      <c r="J23" s="56"/>
      <c r="K23" s="56"/>
      <c r="L23" s="57" t="s">
        <v>33</v>
      </c>
      <c r="M23" s="58" t="n">
        <f aca="false">SUM(G20:M20)</f>
        <v>0</v>
      </c>
    </row>
    <row r="24" s="55" customFormat="true" ht="36" hidden="false" customHeight="true" outlineLevel="0" collapsed="false">
      <c r="E24" s="56"/>
      <c r="F24" s="56"/>
      <c r="G24" s="56"/>
      <c r="H24" s="56"/>
      <c r="I24" s="56"/>
      <c r="J24" s="56"/>
      <c r="K24" s="56"/>
      <c r="L24" s="57" t="s">
        <v>34</v>
      </c>
      <c r="M24" s="58" t="n">
        <f aca="false">SUM(G21:M21)</f>
        <v>0</v>
      </c>
    </row>
  </sheetData>
  <mergeCells count="14">
    <mergeCell ref="B1:B2"/>
    <mergeCell ref="C1:C2"/>
    <mergeCell ref="D1:D2"/>
    <mergeCell ref="E1:F1"/>
    <mergeCell ref="G1:H1"/>
    <mergeCell ref="I1:J1"/>
    <mergeCell ref="K1:L1"/>
    <mergeCell ref="M1:N1"/>
    <mergeCell ref="O1:P1"/>
    <mergeCell ref="Q1:R1"/>
    <mergeCell ref="S1:S2"/>
    <mergeCell ref="T1:T2"/>
    <mergeCell ref="E20:F20"/>
    <mergeCell ref="E21:F21"/>
  </mergeCells>
  <printOptions headings="false" gridLines="false" gridLinesSet="true" horizontalCentered="false" verticalCentered="false"/>
  <pageMargins left="0.109722222222222" right="0.120138888888889" top="1.4" bottom="0.78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 filterMode="false">
    <tabColor rgb="FF4A452A"/>
    <pageSetUpPr fitToPage="false"/>
  </sheetPr>
  <dimension ref="A1:F17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5" activeCellId="0" sqref="A15"/>
    </sheetView>
  </sheetViews>
  <sheetFormatPr defaultRowHeight="12.75" zeroHeight="false" outlineLevelRow="0" outlineLevelCol="0"/>
  <cols>
    <col collapsed="false" customWidth="true" hidden="false" outlineLevel="0" max="1" min="1" style="0" width="5.62"/>
    <col collapsed="false" customWidth="true" hidden="false" outlineLevel="0" max="2" min="2" style="0" width="50.5"/>
    <col collapsed="false" customWidth="true" hidden="false" outlineLevel="0" max="3" min="3" style="0" width="9.38"/>
    <col collapsed="false" customWidth="true" hidden="false" outlineLevel="0" max="4" min="4" style="0" width="15.63"/>
    <col collapsed="false" customWidth="true" hidden="false" outlineLevel="0" max="5" min="5" style="0" width="12.38"/>
    <col collapsed="false" customWidth="true" hidden="false" outlineLevel="0" max="1025" min="6" style="0" width="8.59"/>
  </cols>
  <sheetData>
    <row r="1" customFormat="false" ht="12.75" hidden="false" customHeight="false" outlineLevel="0" collapsed="false">
      <c r="A1" s="17" t="s">
        <v>187</v>
      </c>
      <c r="B1" s="17"/>
      <c r="C1" s="17"/>
      <c r="D1" s="17"/>
      <c r="E1" s="204"/>
      <c r="F1" s="204"/>
    </row>
    <row r="3" customFormat="false" ht="12.75" hidden="false" customHeight="false" outlineLevel="0" collapsed="false">
      <c r="A3" s="254" t="s">
        <v>188</v>
      </c>
      <c r="B3" s="254"/>
      <c r="C3" s="254"/>
      <c r="D3" s="254"/>
    </row>
    <row r="4" s="19" customFormat="true" ht="24.75" hidden="false" customHeight="true" outlineLevel="0" collapsed="false">
      <c r="A4" s="364" t="n">
        <v>1</v>
      </c>
      <c r="B4" s="365" t="s">
        <v>189</v>
      </c>
      <c r="C4" s="366" t="s">
        <v>460</v>
      </c>
      <c r="D4" s="366"/>
    </row>
    <row r="5" s="19" customFormat="true" ht="12.75" hidden="false" customHeight="true" outlineLevel="0" collapsed="false">
      <c r="A5" s="364" t="n">
        <v>2</v>
      </c>
      <c r="B5" s="365" t="s">
        <v>191</v>
      </c>
      <c r="C5" s="367" t="s">
        <v>24</v>
      </c>
      <c r="D5" s="367"/>
    </row>
    <row r="6" s="19" customFormat="true" ht="12.75" hidden="false" customHeight="false" outlineLevel="0" collapsed="false">
      <c r="A6" s="364" t="n">
        <v>3</v>
      </c>
      <c r="B6" s="365" t="s">
        <v>192</v>
      </c>
      <c r="C6" s="210"/>
      <c r="D6" s="210"/>
    </row>
    <row r="7" s="19" customFormat="true" ht="42.75" hidden="false" customHeight="true" outlineLevel="0" collapsed="false">
      <c r="A7" s="364" t="n">
        <v>4</v>
      </c>
      <c r="B7" s="365" t="s">
        <v>193</v>
      </c>
      <c r="C7" s="368" t="s">
        <v>194</v>
      </c>
      <c r="D7" s="368"/>
    </row>
    <row r="8" s="19" customFormat="true" ht="12.75" hidden="false" customHeight="false" outlineLevel="0" collapsed="false">
      <c r="A8" s="364" t="n">
        <v>5</v>
      </c>
      <c r="B8" s="365" t="s">
        <v>195</v>
      </c>
      <c r="C8" s="369" t="n">
        <v>42795</v>
      </c>
      <c r="D8" s="369"/>
    </row>
    <row r="9" customFormat="false" ht="12.75" hidden="false" customHeight="false" outlineLevel="0" collapsed="false">
      <c r="D9" s="335"/>
    </row>
    <row r="10" customFormat="false" ht="12.75" hidden="false" customHeight="false" outlineLevel="0" collapsed="false">
      <c r="A10" s="254" t="s">
        <v>196</v>
      </c>
      <c r="B10" s="254"/>
      <c r="C10" s="254"/>
      <c r="D10" s="254"/>
    </row>
    <row r="11" customFormat="false" ht="12.75" hidden="false" customHeight="false" outlineLevel="0" collapsed="false">
      <c r="A11" s="336" t="s">
        <v>438</v>
      </c>
      <c r="B11" s="216" t="s">
        <v>197</v>
      </c>
      <c r="C11" s="17" t="s">
        <v>198</v>
      </c>
      <c r="D11" s="217" t="s">
        <v>199</v>
      </c>
    </row>
    <row r="12" customFormat="false" ht="12.75" hidden="false" customHeight="false" outlineLevel="0" collapsed="false">
      <c r="A12" s="10" t="s">
        <v>14</v>
      </c>
      <c r="B12" s="10" t="s">
        <v>200</v>
      </c>
      <c r="C12" s="10"/>
      <c r="D12" s="29" t="n">
        <f aca="false">+C6</f>
        <v>0</v>
      </c>
    </row>
    <row r="13" customFormat="false" ht="12.75" hidden="false" customHeight="false" outlineLevel="0" collapsed="false">
      <c r="A13" s="10" t="s">
        <v>16</v>
      </c>
      <c r="B13" s="218" t="s">
        <v>201</v>
      </c>
      <c r="C13" s="219" t="n">
        <v>0.3</v>
      </c>
      <c r="D13" s="29" t="n">
        <f aca="false">+C13*D12</f>
        <v>0</v>
      </c>
      <c r="E13" s="103"/>
    </row>
    <row r="14" customFormat="false" ht="12.75" hidden="false" customHeight="false" outlineLevel="0" collapsed="false">
      <c r="A14" s="10" t="s">
        <v>19</v>
      </c>
      <c r="B14" s="218" t="s">
        <v>202</v>
      </c>
      <c r="C14" s="219"/>
      <c r="D14" s="29"/>
    </row>
    <row r="15" customFormat="false" ht="12.75" hidden="false" customHeight="false" outlineLevel="0" collapsed="false">
      <c r="A15" s="10" t="s">
        <v>21</v>
      </c>
      <c r="B15" s="10" t="s">
        <v>203</v>
      </c>
      <c r="C15" s="10"/>
      <c r="D15" s="29" t="n">
        <f aca="false">+'Calculo 12 36 Not Des'!C66</f>
        <v>0</v>
      </c>
    </row>
    <row r="16" customFormat="false" ht="12.75" hidden="false" customHeight="false" outlineLevel="0" collapsed="false">
      <c r="A16" s="10" t="s">
        <v>204</v>
      </c>
      <c r="B16" s="10" t="s">
        <v>205</v>
      </c>
      <c r="C16" s="10"/>
      <c r="D16" s="29" t="n">
        <f aca="false">+'Calculo 12 36 Not Des'!C98</f>
        <v>0</v>
      </c>
    </row>
    <row r="17" customFormat="false" ht="12.75" hidden="false" customHeight="false" outlineLevel="0" collapsed="false">
      <c r="A17" s="10" t="s">
        <v>206</v>
      </c>
      <c r="B17" s="10" t="s">
        <v>207</v>
      </c>
      <c r="C17" s="10"/>
      <c r="D17" s="29"/>
    </row>
    <row r="18" customFormat="false" ht="12.75" hidden="false" customHeight="false" outlineLevel="0" collapsed="false">
      <c r="A18" s="10" t="s">
        <v>208</v>
      </c>
      <c r="B18" s="10" t="s">
        <v>209</v>
      </c>
      <c r="C18" s="10"/>
      <c r="D18" s="29"/>
    </row>
    <row r="19" customFormat="false" ht="12.75" hidden="false" customHeight="false" outlineLevel="0" collapsed="false">
      <c r="A19" s="10" t="s">
        <v>210</v>
      </c>
      <c r="B19" s="10" t="s">
        <v>211</v>
      </c>
      <c r="C19" s="10"/>
      <c r="D19" s="29"/>
    </row>
    <row r="20" customFormat="false" ht="12.75" hidden="false" customHeight="false" outlineLevel="0" collapsed="false">
      <c r="A20" s="10" t="s">
        <v>212</v>
      </c>
      <c r="B20" s="218" t="s">
        <v>213</v>
      </c>
      <c r="C20" s="219"/>
      <c r="D20" s="29"/>
    </row>
    <row r="21" customFormat="false" ht="12.75" hidden="false" customHeight="false" outlineLevel="0" collapsed="false">
      <c r="A21" s="10" t="s">
        <v>214</v>
      </c>
      <c r="B21" s="10" t="s">
        <v>215</v>
      </c>
      <c r="C21" s="10"/>
      <c r="D21" s="78"/>
      <c r="F21" s="220"/>
    </row>
    <row r="22" customFormat="false" ht="12.75" hidden="false" customHeight="false" outlineLevel="0" collapsed="false">
      <c r="A22" s="10" t="s">
        <v>216</v>
      </c>
      <c r="B22" s="10" t="s">
        <v>217</v>
      </c>
      <c r="C22" s="10"/>
      <c r="D22" s="78"/>
    </row>
    <row r="23" customFormat="false" ht="12.75" hidden="false" customHeight="false" outlineLevel="0" collapsed="false">
      <c r="A23" s="205" t="s">
        <v>218</v>
      </c>
      <c r="B23" s="205"/>
      <c r="C23" s="205"/>
      <c r="D23" s="27" t="n">
        <f aca="false">SUM(D12:D22)</f>
        <v>0</v>
      </c>
    </row>
    <row r="25" customFormat="false" ht="12.75" hidden="false" customHeight="false" outlineLevel="0" collapsed="false">
      <c r="A25" s="254" t="s">
        <v>219</v>
      </c>
      <c r="B25" s="254"/>
      <c r="C25" s="254"/>
      <c r="D25" s="254"/>
    </row>
    <row r="27" customFormat="false" ht="12.75" hidden="false" customHeight="false" outlineLevel="0" collapsed="false">
      <c r="A27" s="254" t="s">
        <v>220</v>
      </c>
      <c r="B27" s="254"/>
      <c r="C27" s="254"/>
      <c r="D27" s="254"/>
    </row>
    <row r="28" customFormat="false" ht="12.75" hidden="false" customHeight="false" outlineLevel="0" collapsed="false">
      <c r="A28" s="221" t="s">
        <v>221</v>
      </c>
      <c r="B28" s="222" t="s">
        <v>222</v>
      </c>
      <c r="C28" s="223" t="s">
        <v>198</v>
      </c>
      <c r="D28" s="224" t="s">
        <v>199</v>
      </c>
    </row>
    <row r="29" customFormat="false" ht="12.75" hidden="false" customHeight="false" outlineLevel="0" collapsed="false">
      <c r="A29" s="10" t="s">
        <v>14</v>
      </c>
      <c r="B29" s="128" t="s">
        <v>223</v>
      </c>
      <c r="C29" s="225" t="e">
        <f aca="false">ROUND(+D29/$D$23,4)</f>
        <v>#DIV/0!</v>
      </c>
      <c r="D29" s="78" t="n">
        <f aca="false">ROUND(+D23/12,2)</f>
        <v>0</v>
      </c>
    </row>
    <row r="30" customFormat="false" ht="12.75" hidden="false" customHeight="false" outlineLevel="0" collapsed="false">
      <c r="A30" s="226" t="s">
        <v>16</v>
      </c>
      <c r="B30" s="227" t="s">
        <v>224</v>
      </c>
      <c r="C30" s="228" t="e">
        <f aca="false">ROUND(+D30/$D$23,4)</f>
        <v>#DIV/0!</v>
      </c>
      <c r="D30" s="229" t="n">
        <f aca="false">+D31+D32</f>
        <v>0</v>
      </c>
    </row>
    <row r="31" customFormat="false" ht="12.75" hidden="false" customHeight="false" outlineLevel="0" collapsed="false">
      <c r="A31" s="10" t="s">
        <v>225</v>
      </c>
      <c r="B31" s="230" t="s">
        <v>226</v>
      </c>
      <c r="C31" s="231" t="e">
        <f aca="false">ROUND(+D31/$D$23,4)</f>
        <v>#DIV/0!</v>
      </c>
      <c r="D31" s="232" t="n">
        <f aca="false">ROUND(+D23/12,2)</f>
        <v>0</v>
      </c>
    </row>
    <row r="32" customFormat="false" ht="12.75" hidden="false" customHeight="false" outlineLevel="0" collapsed="false">
      <c r="A32" s="10" t="s">
        <v>227</v>
      </c>
      <c r="B32" s="230" t="s">
        <v>228</v>
      </c>
      <c r="C32" s="231" t="e">
        <f aca="false">ROUND(+D32/$D$23,4)</f>
        <v>#DIV/0!</v>
      </c>
      <c r="D32" s="232" t="n">
        <f aca="false">ROUND(+(D23*1/3)/12,2)</f>
        <v>0</v>
      </c>
    </row>
    <row r="33" customFormat="false" ht="12.75" hidden="false" customHeight="false" outlineLevel="0" collapsed="false">
      <c r="A33" s="205" t="s">
        <v>218</v>
      </c>
      <c r="B33" s="205"/>
      <c r="C33" s="205"/>
      <c r="D33" s="27" t="n">
        <f aca="false">+D30+D29</f>
        <v>0</v>
      </c>
    </row>
    <row r="35" customFormat="false" ht="12.75" hidden="false" customHeight="true" outlineLevel="0" collapsed="false">
      <c r="A35" s="262" t="s">
        <v>229</v>
      </c>
      <c r="B35" s="262"/>
      <c r="C35" s="262"/>
      <c r="D35" s="262"/>
    </row>
    <row r="36" customFormat="false" ht="12.75" hidden="false" customHeight="false" outlineLevel="0" collapsed="false">
      <c r="A36" s="221" t="s">
        <v>230</v>
      </c>
      <c r="B36" s="234" t="s">
        <v>231</v>
      </c>
      <c r="C36" s="223" t="s">
        <v>198</v>
      </c>
      <c r="D36" s="224" t="s">
        <v>199</v>
      </c>
    </row>
    <row r="37" customFormat="false" ht="12.75" hidden="false" customHeight="false" outlineLevel="0" collapsed="false">
      <c r="A37" s="10" t="s">
        <v>14</v>
      </c>
      <c r="B37" s="128" t="s">
        <v>232</v>
      </c>
      <c r="C37" s="225" t="n">
        <v>0.2</v>
      </c>
      <c r="D37" s="129" t="n">
        <f aca="false">ROUND(C37*($D$23+$D$33),2)</f>
        <v>0</v>
      </c>
    </row>
    <row r="38" customFormat="false" ht="12.75" hidden="false" customHeight="false" outlineLevel="0" collapsed="false">
      <c r="A38" s="10" t="s">
        <v>16</v>
      </c>
      <c r="B38" s="128" t="s">
        <v>233</v>
      </c>
      <c r="C38" s="225" t="n">
        <v>0.025</v>
      </c>
      <c r="D38" s="129" t="n">
        <f aca="false">ROUND(C38*($D$23+$D$33),2)</f>
        <v>0</v>
      </c>
    </row>
    <row r="39" customFormat="false" ht="12.75" hidden="false" customHeight="false" outlineLevel="0" collapsed="false">
      <c r="A39" s="10" t="s">
        <v>19</v>
      </c>
      <c r="B39" s="128" t="s">
        <v>234</v>
      </c>
      <c r="C39" s="225" t="n">
        <f aca="false">3%</f>
        <v>0.03</v>
      </c>
      <c r="D39" s="129" t="n">
        <f aca="false">ROUND(C39*($D$23+$D$33),2)</f>
        <v>0</v>
      </c>
    </row>
    <row r="40" customFormat="false" ht="12.75" hidden="false" customHeight="false" outlineLevel="0" collapsed="false">
      <c r="A40" s="10" t="s">
        <v>21</v>
      </c>
      <c r="B40" s="128" t="s">
        <v>235</v>
      </c>
      <c r="C40" s="225" t="n">
        <v>0.015</v>
      </c>
      <c r="D40" s="129" t="n">
        <f aca="false">ROUND(C40*($D$23+$D$33),2)</f>
        <v>0</v>
      </c>
    </row>
    <row r="41" customFormat="false" ht="12.75" hidden="false" customHeight="false" outlineLevel="0" collapsed="false">
      <c r="A41" s="10" t="s">
        <v>204</v>
      </c>
      <c r="B41" s="128" t="s">
        <v>236</v>
      </c>
      <c r="C41" s="225" t="n">
        <v>0.01</v>
      </c>
      <c r="D41" s="129" t="n">
        <f aca="false">ROUND(C41*($D$23+$D$33),2)</f>
        <v>0</v>
      </c>
    </row>
    <row r="42" customFormat="false" ht="12.75" hidden="false" customHeight="false" outlineLevel="0" collapsed="false">
      <c r="A42" s="10" t="s">
        <v>206</v>
      </c>
      <c r="B42" s="128" t="s">
        <v>237</v>
      </c>
      <c r="C42" s="225" t="n">
        <v>0.006</v>
      </c>
      <c r="D42" s="129" t="n">
        <f aca="false">ROUND(C42*($D$23+$D$33),2)</f>
        <v>0</v>
      </c>
    </row>
    <row r="43" customFormat="false" ht="12.75" hidden="false" customHeight="false" outlineLevel="0" collapsed="false">
      <c r="A43" s="10" t="s">
        <v>208</v>
      </c>
      <c r="B43" s="128" t="s">
        <v>238</v>
      </c>
      <c r="C43" s="225" t="n">
        <v>0.002</v>
      </c>
      <c r="D43" s="129" t="n">
        <f aca="false">ROUND(C43*($D$23+$D$33),2)</f>
        <v>0</v>
      </c>
    </row>
    <row r="44" customFormat="false" ht="12.75" hidden="false" customHeight="false" outlineLevel="0" collapsed="false">
      <c r="A44" s="10" t="s">
        <v>210</v>
      </c>
      <c r="B44" s="128" t="s">
        <v>239</v>
      </c>
      <c r="C44" s="225" t="n">
        <v>0.08</v>
      </c>
      <c r="D44" s="129" t="n">
        <f aca="false">ROUND(C44*($D$23+$D$33),2)</f>
        <v>0</v>
      </c>
    </row>
    <row r="45" customFormat="false" ht="12.75" hidden="false" customHeight="false" outlineLevel="0" collapsed="false">
      <c r="A45" s="235" t="s">
        <v>218</v>
      </c>
      <c r="B45" s="236"/>
      <c r="C45" s="237" t="n">
        <f aca="false">SUM(C37:C44)</f>
        <v>0.368</v>
      </c>
      <c r="D45" s="238" t="n">
        <f aca="false">SUM(D37:D44)</f>
        <v>0</v>
      </c>
    </row>
    <row r="46" customFormat="false" ht="12.75" hidden="false" customHeight="false" outlineLevel="0" collapsed="false">
      <c r="A46" s="239"/>
      <c r="B46" s="239"/>
      <c r="C46" s="239"/>
      <c r="D46" s="239"/>
    </row>
    <row r="47" customFormat="false" ht="12.75" hidden="false" customHeight="true" outlineLevel="0" collapsed="false">
      <c r="A47" s="262" t="s">
        <v>240</v>
      </c>
      <c r="B47" s="262"/>
      <c r="C47" s="262"/>
      <c r="D47" s="262"/>
    </row>
    <row r="48" customFormat="false" ht="12.75" hidden="false" customHeight="false" outlineLevel="0" collapsed="false">
      <c r="A48" s="221" t="s">
        <v>241</v>
      </c>
      <c r="B48" s="234" t="s">
        <v>242</v>
      </c>
      <c r="C48" s="223"/>
      <c r="D48" s="224" t="s">
        <v>199</v>
      </c>
    </row>
    <row r="49" customFormat="false" ht="12.75" hidden="false" customHeight="false" outlineLevel="0" collapsed="false">
      <c r="A49" s="240" t="s">
        <v>14</v>
      </c>
      <c r="B49" s="128" t="s">
        <v>243</v>
      </c>
      <c r="C49" s="241"/>
      <c r="D49" s="129" t="n">
        <f aca="false">+'Calculo 12 36 Not Des'!C107</f>
        <v>0</v>
      </c>
    </row>
    <row r="50" s="34" customFormat="true" ht="12.75" hidden="false" customHeight="false" outlineLevel="0" collapsed="false">
      <c r="A50" s="242" t="s">
        <v>244</v>
      </c>
      <c r="B50" s="110" t="s">
        <v>245</v>
      </c>
      <c r="C50" s="225" t="n">
        <f aca="false">+$C$135+$C$136</f>
        <v>0.0365</v>
      </c>
      <c r="D50" s="243" t="n">
        <f aca="false">+(C50*D49)*-1</f>
        <v>0</v>
      </c>
      <c r="F50" s="116"/>
    </row>
    <row r="51" customFormat="false" ht="12.75" hidden="false" customHeight="false" outlineLevel="0" collapsed="false">
      <c r="A51" s="240" t="s">
        <v>16</v>
      </c>
      <c r="B51" s="128" t="s">
        <v>246</v>
      </c>
      <c r="C51" s="241"/>
      <c r="D51" s="129" t="n">
        <f aca="false">+'Calculo 12 36 Not Des'!C116</f>
        <v>0</v>
      </c>
      <c r="F51" s="244"/>
    </row>
    <row r="52" s="34" customFormat="true" ht="12.75" hidden="false" customHeight="false" outlineLevel="0" collapsed="false">
      <c r="A52" s="242" t="s">
        <v>225</v>
      </c>
      <c r="B52" s="110" t="s">
        <v>245</v>
      </c>
      <c r="C52" s="225" t="n">
        <f aca="false">+$C$135+$C$136</f>
        <v>0.0365</v>
      </c>
      <c r="D52" s="243" t="n">
        <f aca="false">+(C52*D51)*-1</f>
        <v>0</v>
      </c>
      <c r="F52" s="245"/>
    </row>
    <row r="53" customFormat="false" ht="12.75" hidden="false" customHeight="false" outlineLevel="0" collapsed="false">
      <c r="A53" s="128" t="s">
        <v>19</v>
      </c>
      <c r="B53" s="128" t="s">
        <v>247</v>
      </c>
      <c r="C53" s="241"/>
      <c r="D53" s="129"/>
      <c r="F53" s="244"/>
    </row>
    <row r="54" customFormat="false" ht="12.75" hidden="false" customHeight="false" outlineLevel="0" collapsed="false">
      <c r="A54" s="242" t="s">
        <v>248</v>
      </c>
      <c r="B54" s="110" t="s">
        <v>245</v>
      </c>
      <c r="C54" s="225" t="n">
        <f aca="false">+$C$135+$C$136</f>
        <v>0.0365</v>
      </c>
      <c r="D54" s="243" t="n">
        <f aca="false">+(C54*D53)*-1</f>
        <v>0</v>
      </c>
      <c r="F54" s="244"/>
    </row>
    <row r="55" customFormat="false" ht="12.75" hidden="false" customHeight="false" outlineLevel="0" collapsed="false">
      <c r="A55" s="246" t="s">
        <v>21</v>
      </c>
      <c r="B55" s="246" t="s">
        <v>249</v>
      </c>
      <c r="C55" s="241"/>
      <c r="D55" s="247"/>
      <c r="F55" s="244"/>
    </row>
    <row r="56" customFormat="false" ht="12.75" hidden="false" customHeight="false" outlineLevel="0" collapsed="false">
      <c r="A56" s="242" t="s">
        <v>250</v>
      </c>
      <c r="B56" s="110" t="s">
        <v>245</v>
      </c>
      <c r="C56" s="225" t="n">
        <f aca="false">+$C$135+$C$136</f>
        <v>0.0365</v>
      </c>
      <c r="D56" s="243" t="n">
        <f aca="false">+(C56*D55)*-1</f>
        <v>0</v>
      </c>
      <c r="F56" s="244"/>
    </row>
    <row r="57" customFormat="false" ht="12.75" hidden="false" customHeight="false" outlineLevel="0" collapsed="false">
      <c r="A57" s="246" t="s">
        <v>204</v>
      </c>
      <c r="B57" s="246" t="s">
        <v>251</v>
      </c>
      <c r="C57" s="241"/>
      <c r="D57" s="248"/>
      <c r="F57" s="337"/>
    </row>
    <row r="58" customFormat="false" ht="12.75" hidden="false" customHeight="false" outlineLevel="0" collapsed="false">
      <c r="A58" s="242" t="s">
        <v>252</v>
      </c>
      <c r="B58" s="110" t="s">
        <v>245</v>
      </c>
      <c r="C58" s="225" t="n">
        <f aca="false">+$C$135+$C$136</f>
        <v>0.0365</v>
      </c>
      <c r="D58" s="243" t="n">
        <f aca="false">+(C58*D57)*-1</f>
        <v>0</v>
      </c>
    </row>
    <row r="59" customFormat="false" ht="12.75" hidden="false" customHeight="false" outlineLevel="0" collapsed="false">
      <c r="A59" s="246" t="s">
        <v>206</v>
      </c>
      <c r="B59" s="250" t="s">
        <v>253</v>
      </c>
      <c r="C59" s="250"/>
      <c r="D59" s="247"/>
    </row>
    <row r="60" customFormat="false" ht="12.75" hidden="false" customHeight="false" outlineLevel="0" collapsed="false">
      <c r="A60" s="242" t="s">
        <v>254</v>
      </c>
      <c r="B60" s="110" t="s">
        <v>245</v>
      </c>
      <c r="C60" s="225" t="n">
        <f aca="false">+$C$135+$C$136</f>
        <v>0.0365</v>
      </c>
      <c r="D60" s="243" t="n">
        <f aca="false">+(C60*D59)*-1</f>
        <v>0</v>
      </c>
    </row>
    <row r="61" customFormat="false" ht="12.75" hidden="false" customHeight="false" outlineLevel="0" collapsed="false">
      <c r="A61" s="205" t="s">
        <v>218</v>
      </c>
      <c r="B61" s="205"/>
      <c r="C61" s="251"/>
      <c r="D61" s="338" t="n">
        <f aca="false">SUM(D49:D60)</f>
        <v>0</v>
      </c>
    </row>
    <row r="63" customFormat="false" ht="12.75" hidden="false" customHeight="false" outlineLevel="0" collapsed="false">
      <c r="A63" s="254" t="s">
        <v>255</v>
      </c>
      <c r="B63" s="254"/>
      <c r="C63" s="254"/>
      <c r="D63" s="254"/>
    </row>
    <row r="64" customFormat="false" ht="12.75" hidden="false" customHeight="false" outlineLevel="0" collapsed="false">
      <c r="A64" s="253" t="n">
        <v>2</v>
      </c>
      <c r="B64" s="254" t="s">
        <v>256</v>
      </c>
      <c r="C64" s="254"/>
      <c r="D64" s="255" t="s">
        <v>199</v>
      </c>
    </row>
    <row r="65" customFormat="false" ht="12.75" hidden="false" customHeight="false" outlineLevel="0" collapsed="false">
      <c r="A65" s="76" t="s">
        <v>221</v>
      </c>
      <c r="B65" s="256" t="s">
        <v>222</v>
      </c>
      <c r="C65" s="256"/>
      <c r="D65" s="129" t="n">
        <f aca="false">+D33</f>
        <v>0</v>
      </c>
    </row>
    <row r="66" customFormat="false" ht="12.75" hidden="false" customHeight="false" outlineLevel="0" collapsed="false">
      <c r="A66" s="76" t="s">
        <v>230</v>
      </c>
      <c r="B66" s="256" t="s">
        <v>231</v>
      </c>
      <c r="C66" s="256"/>
      <c r="D66" s="129" t="n">
        <f aca="false">+D45</f>
        <v>0</v>
      </c>
    </row>
    <row r="67" customFormat="false" ht="12.75" hidden="false" customHeight="false" outlineLevel="0" collapsed="false">
      <c r="A67" s="76" t="s">
        <v>241</v>
      </c>
      <c r="B67" s="256" t="s">
        <v>242</v>
      </c>
      <c r="C67" s="256"/>
      <c r="D67" s="257" t="n">
        <f aca="false">+D61</f>
        <v>0</v>
      </c>
    </row>
    <row r="68" customFormat="false" ht="12.75" hidden="false" customHeight="false" outlineLevel="0" collapsed="false">
      <c r="A68" s="254" t="s">
        <v>218</v>
      </c>
      <c r="B68" s="254"/>
      <c r="C68" s="254"/>
      <c r="D68" s="258" t="n">
        <f aca="false">SUM(D65:D67)</f>
        <v>0</v>
      </c>
    </row>
    <row r="70" customFormat="false" ht="12.75" hidden="false" customHeight="false" outlineLevel="0" collapsed="false">
      <c r="A70" s="254" t="s">
        <v>257</v>
      </c>
      <c r="B70" s="254"/>
      <c r="C70" s="254"/>
      <c r="D70" s="254"/>
    </row>
    <row r="72" customFormat="false" ht="12.75" hidden="false" customHeight="false" outlineLevel="0" collapsed="false">
      <c r="A72" s="25" t="n">
        <v>3</v>
      </c>
      <c r="B72" s="222" t="s">
        <v>258</v>
      </c>
      <c r="C72" s="17" t="s">
        <v>198</v>
      </c>
      <c r="D72" s="17" t="s">
        <v>199</v>
      </c>
    </row>
    <row r="73" customFormat="false" ht="12.75" hidden="false" customHeight="false" outlineLevel="0" collapsed="false">
      <c r="A73" s="10" t="s">
        <v>14</v>
      </c>
      <c r="B73" s="110" t="s">
        <v>259</v>
      </c>
      <c r="C73" s="225" t="e">
        <f aca="false">+D73/$D$23</f>
        <v>#DIV/0!</v>
      </c>
      <c r="D73" s="259" t="n">
        <f aca="false">+'Calculo 12 36 Not Des'!C122</f>
        <v>0</v>
      </c>
    </row>
    <row r="74" customFormat="false" ht="12.75" hidden="false" customHeight="false" outlineLevel="0" collapsed="false">
      <c r="A74" s="10" t="s">
        <v>16</v>
      </c>
      <c r="B74" s="128" t="s">
        <v>260</v>
      </c>
      <c r="C74" s="260"/>
      <c r="D74" s="78" t="n">
        <f aca="false">ROUND(+D73*$C$44,2)</f>
        <v>0</v>
      </c>
    </row>
    <row r="75" customFormat="false" ht="25.5" hidden="false" customHeight="false" outlineLevel="0" collapsed="false">
      <c r="A75" s="10" t="s">
        <v>19</v>
      </c>
      <c r="B75" s="261" t="s">
        <v>261</v>
      </c>
      <c r="C75" s="225" t="e">
        <f aca="false">+D75/$D$23</f>
        <v>#DIV/0!</v>
      </c>
      <c r="D75" s="78" t="n">
        <f aca="false">+'Calculo 12 36 Not Des'!C136</f>
        <v>0</v>
      </c>
    </row>
    <row r="76" customFormat="false" ht="12.75" hidden="false" customHeight="false" outlineLevel="0" collapsed="false">
      <c r="A76" s="256" t="s">
        <v>21</v>
      </c>
      <c r="B76" s="128" t="s">
        <v>262</v>
      </c>
      <c r="C76" s="225" t="e">
        <f aca="false">+D76/$D$23</f>
        <v>#DIV/0!</v>
      </c>
      <c r="D76" s="78" t="n">
        <f aca="false">+'Calculo 12 36 Not Des'!C144</f>
        <v>0</v>
      </c>
    </row>
    <row r="77" customFormat="false" ht="25.5" hidden="false" customHeight="false" outlineLevel="0" collapsed="false">
      <c r="A77" s="256" t="s">
        <v>204</v>
      </c>
      <c r="B77" s="261" t="s">
        <v>263</v>
      </c>
      <c r="C77" s="260"/>
      <c r="D77" s="78" t="n">
        <f aca="false">+D76*C45</f>
        <v>0</v>
      </c>
    </row>
    <row r="78" customFormat="false" ht="25.5" hidden="false" customHeight="false" outlineLevel="0" collapsed="false">
      <c r="A78" s="256" t="s">
        <v>206</v>
      </c>
      <c r="B78" s="261" t="s">
        <v>264</v>
      </c>
      <c r="C78" s="225" t="e">
        <f aca="false">+D78/$D$23</f>
        <v>#DIV/0!</v>
      </c>
      <c r="D78" s="129" t="n">
        <f aca="false">+'Calculo 12 36 Not Des'!C158</f>
        <v>0</v>
      </c>
    </row>
    <row r="79" customFormat="false" ht="12.75" hidden="false" customHeight="false" outlineLevel="0" collapsed="false">
      <c r="A79" s="205" t="s">
        <v>218</v>
      </c>
      <c r="B79" s="205"/>
      <c r="C79" s="205"/>
      <c r="D79" s="26" t="n">
        <f aca="false">SUM(D73:D78)</f>
        <v>0</v>
      </c>
    </row>
    <row r="81" customFormat="false" ht="12.75" hidden="false" customHeight="false" outlineLevel="0" collapsed="false">
      <c r="A81" s="254" t="s">
        <v>265</v>
      </c>
      <c r="B81" s="254"/>
      <c r="C81" s="254"/>
      <c r="D81" s="254"/>
    </row>
    <row r="83" customFormat="false" ht="12.75" hidden="false" customHeight="true" outlineLevel="0" collapsed="false">
      <c r="A83" s="262" t="s">
        <v>266</v>
      </c>
      <c r="B83" s="262"/>
      <c r="C83" s="262"/>
      <c r="D83" s="262"/>
    </row>
    <row r="84" customFormat="false" ht="12.75" hidden="false" customHeight="false" outlineLevel="0" collapsed="false">
      <c r="A84" s="25" t="s">
        <v>267</v>
      </c>
      <c r="B84" s="205" t="s">
        <v>268</v>
      </c>
      <c r="C84" s="205"/>
      <c r="D84" s="17" t="s">
        <v>199</v>
      </c>
    </row>
    <row r="85" customFormat="false" ht="12.75" hidden="false" customHeight="false" outlineLevel="0" collapsed="false">
      <c r="A85" s="128" t="s">
        <v>14</v>
      </c>
      <c r="B85" s="263" t="s">
        <v>269</v>
      </c>
      <c r="C85" s="263"/>
      <c r="D85" s="78"/>
    </row>
    <row r="86" customFormat="false" ht="12.75" hidden="false" customHeight="false" outlineLevel="0" collapsed="false">
      <c r="A86" s="110" t="s">
        <v>16</v>
      </c>
      <c r="B86" s="264" t="s">
        <v>268</v>
      </c>
      <c r="C86" s="264"/>
      <c r="D86" s="78" t="n">
        <f aca="false">+'Calculo 12 36 Not Des'!C171</f>
        <v>0</v>
      </c>
    </row>
    <row r="87" s="34" customFormat="true" ht="12.75" hidden="false" customHeight="false" outlineLevel="0" collapsed="false">
      <c r="A87" s="110" t="s">
        <v>19</v>
      </c>
      <c r="B87" s="264" t="s">
        <v>270</v>
      </c>
      <c r="C87" s="264"/>
      <c r="D87" s="78" t="n">
        <f aca="false">+'Calculo 12 36 Not Des'!C180</f>
        <v>0</v>
      </c>
    </row>
    <row r="88" s="34" customFormat="true" ht="12.75" hidden="false" customHeight="false" outlineLevel="0" collapsed="false">
      <c r="A88" s="110" t="s">
        <v>21</v>
      </c>
      <c r="B88" s="264" t="s">
        <v>271</v>
      </c>
      <c r="C88" s="264"/>
      <c r="D88" s="78" t="n">
        <f aca="false">+'Calculo 12 36 Not Des'!C188</f>
        <v>0</v>
      </c>
    </row>
    <row r="89" s="34" customFormat="true" ht="13.5" hidden="false" customHeight="false" outlineLevel="0" collapsed="false">
      <c r="A89" s="110" t="s">
        <v>204</v>
      </c>
      <c r="B89" s="264" t="s">
        <v>272</v>
      </c>
      <c r="C89" s="264"/>
      <c r="D89" s="78"/>
    </row>
    <row r="90" s="34" customFormat="true" ht="12.75" hidden="false" customHeight="false" outlineLevel="0" collapsed="false">
      <c r="A90" s="110" t="s">
        <v>206</v>
      </c>
      <c r="B90" s="264" t="s">
        <v>273</v>
      </c>
      <c r="C90" s="264"/>
      <c r="D90" s="78" t="n">
        <f aca="false">+'Calculo 12 36 Not Des'!C196</f>
        <v>0</v>
      </c>
    </row>
    <row r="91" customFormat="false" ht="12.75" hidden="false" customHeight="false" outlineLevel="0" collapsed="false">
      <c r="A91" s="128" t="s">
        <v>208</v>
      </c>
      <c r="B91" s="263" t="s">
        <v>217</v>
      </c>
      <c r="C91" s="263"/>
      <c r="D91" s="78"/>
    </row>
    <row r="92" customFormat="false" ht="12.75" hidden="false" customHeight="false" outlineLevel="0" collapsed="false">
      <c r="A92" s="128" t="s">
        <v>210</v>
      </c>
      <c r="B92" s="263" t="s">
        <v>274</v>
      </c>
      <c r="C92" s="263"/>
      <c r="D92" s="78" t="n">
        <f aca="false">ROUND((D86+D87+D88+D85+D89+D90+D91)*C45,2)</f>
        <v>0</v>
      </c>
    </row>
    <row r="93" customFormat="false" ht="12.75" hidden="false" customHeight="false" outlineLevel="0" collapsed="false">
      <c r="A93" s="205" t="s">
        <v>218</v>
      </c>
      <c r="B93" s="205"/>
      <c r="C93" s="205"/>
      <c r="D93" s="27" t="n">
        <f aca="false">SUM(D85:D92)</f>
        <v>0</v>
      </c>
    </row>
    <row r="94" customFormat="false" ht="12.75" hidden="false" customHeight="false" outlineLevel="0" collapsed="false">
      <c r="D94" s="245"/>
    </row>
    <row r="95" customFormat="false" ht="12.75" hidden="false" customHeight="false" outlineLevel="0" collapsed="false">
      <c r="A95" s="25" t="s">
        <v>275</v>
      </c>
      <c r="B95" s="205" t="s">
        <v>276</v>
      </c>
      <c r="C95" s="205"/>
      <c r="D95" s="17" t="s">
        <v>199</v>
      </c>
    </row>
    <row r="96" s="34" customFormat="true" ht="12.75" hidden="false" customHeight="false" outlineLevel="0" collapsed="false">
      <c r="A96" s="110" t="s">
        <v>14</v>
      </c>
      <c r="B96" s="256" t="s">
        <v>277</v>
      </c>
      <c r="C96" s="256"/>
      <c r="D96" s="78" t="n">
        <f aca="false">+'Calculo 12 36 Not Des'!C220</f>
        <v>0</v>
      </c>
    </row>
    <row r="97" s="34" customFormat="true" ht="12.75" hidden="false" customHeight="true" outlineLevel="0" collapsed="false">
      <c r="A97" s="110" t="s">
        <v>16</v>
      </c>
      <c r="B97" s="265" t="s">
        <v>278</v>
      </c>
      <c r="C97" s="265"/>
      <c r="D97" s="78" t="n">
        <f aca="false">ROUND(D96*C45,2)</f>
        <v>0</v>
      </c>
    </row>
    <row r="98" s="34" customFormat="true" ht="12.75" hidden="false" customHeight="true" outlineLevel="0" collapsed="false">
      <c r="A98" s="110" t="s">
        <v>19</v>
      </c>
      <c r="B98" s="265" t="s">
        <v>279</v>
      </c>
      <c r="C98" s="265"/>
      <c r="D98" s="78" t="n">
        <f aca="false">+'Calculo 12 36 Not Des'!C230</f>
        <v>0</v>
      </c>
    </row>
    <row r="99" customFormat="false" ht="12.75" hidden="false" customHeight="false" outlineLevel="0" collapsed="false">
      <c r="A99" s="128" t="s">
        <v>21</v>
      </c>
      <c r="B99" s="263" t="s">
        <v>217</v>
      </c>
      <c r="C99" s="263"/>
      <c r="D99" s="78"/>
    </row>
    <row r="100" customFormat="false" ht="12.75" hidden="false" customHeight="false" outlineLevel="0" collapsed="false">
      <c r="A100" s="205" t="s">
        <v>218</v>
      </c>
      <c r="B100" s="205"/>
      <c r="C100" s="205"/>
      <c r="D100" s="27" t="n">
        <f aca="false">SUM(D96:D99)</f>
        <v>0</v>
      </c>
    </row>
    <row r="101" customFormat="false" ht="12.75" hidden="false" customHeight="false" outlineLevel="0" collapsed="false">
      <c r="D101" s="245"/>
    </row>
    <row r="102" customFormat="false" ht="12.75" hidden="false" customHeight="false" outlineLevel="0" collapsed="false">
      <c r="A102" s="25" t="s">
        <v>280</v>
      </c>
      <c r="B102" s="205" t="s">
        <v>281</v>
      </c>
      <c r="C102" s="205"/>
      <c r="D102" s="17" t="s">
        <v>199</v>
      </c>
    </row>
    <row r="103" s="267" customFormat="true" ht="12.75" hidden="false" customHeight="true" outlineLevel="0" collapsed="false">
      <c r="A103" s="256" t="s">
        <v>14</v>
      </c>
      <c r="B103" s="265" t="s">
        <v>282</v>
      </c>
      <c r="C103" s="265"/>
      <c r="D103" s="266" t="n">
        <f aca="false">+'Calculo 12 36 Not Des'!C209</f>
        <v>0</v>
      </c>
    </row>
    <row r="104" customFormat="false" ht="12.75" hidden="false" customHeight="false" outlineLevel="0" collapsed="false">
      <c r="A104" s="205" t="s">
        <v>218</v>
      </c>
      <c r="B104" s="205"/>
      <c r="C104" s="205"/>
      <c r="D104" s="27" t="n">
        <f aca="false">SUM(D103:D103)</f>
        <v>0</v>
      </c>
    </row>
    <row r="106" customFormat="false" ht="12.75" hidden="false" customHeight="false" outlineLevel="0" collapsed="false">
      <c r="A106" s="268" t="s">
        <v>283</v>
      </c>
      <c r="B106" s="268"/>
      <c r="C106" s="268"/>
      <c r="D106" s="268"/>
    </row>
    <row r="107" customFormat="false" ht="12.75" hidden="false" customHeight="false" outlineLevel="0" collapsed="false">
      <c r="A107" s="128" t="s">
        <v>267</v>
      </c>
      <c r="B107" s="263" t="s">
        <v>268</v>
      </c>
      <c r="C107" s="263"/>
      <c r="D107" s="129" t="n">
        <f aca="false">+D93</f>
        <v>0</v>
      </c>
    </row>
    <row r="108" customFormat="false" ht="12.75" hidden="false" customHeight="false" outlineLevel="0" collapsed="false">
      <c r="A108" s="128" t="s">
        <v>275</v>
      </c>
      <c r="B108" s="263" t="s">
        <v>276</v>
      </c>
      <c r="C108" s="263"/>
      <c r="D108" s="129" t="n">
        <f aca="false">+D100</f>
        <v>0</v>
      </c>
    </row>
    <row r="109" customFormat="false" ht="12.75" hidden="false" customHeight="false" outlineLevel="0" collapsed="false">
      <c r="A109" s="269"/>
      <c r="B109" s="270" t="s">
        <v>284</v>
      </c>
      <c r="C109" s="270"/>
      <c r="D109" s="271" t="n">
        <f aca="false">+D108+D107</f>
        <v>0</v>
      </c>
    </row>
    <row r="110" customFormat="false" ht="12.75" hidden="false" customHeight="false" outlineLevel="0" collapsed="false">
      <c r="A110" s="128" t="s">
        <v>280</v>
      </c>
      <c r="B110" s="263" t="s">
        <v>281</v>
      </c>
      <c r="C110" s="263"/>
      <c r="D110" s="129" t="n">
        <f aca="false">+D104</f>
        <v>0</v>
      </c>
    </row>
    <row r="111" customFormat="false" ht="12.75" hidden="false" customHeight="false" outlineLevel="0" collapsed="false">
      <c r="A111" s="268" t="s">
        <v>218</v>
      </c>
      <c r="B111" s="268"/>
      <c r="C111" s="268"/>
      <c r="D111" s="272" t="n">
        <f aca="false">+D110+D109</f>
        <v>0</v>
      </c>
    </row>
    <row r="113" customFormat="false" ht="12.75" hidden="false" customHeight="false" outlineLevel="0" collapsed="false">
      <c r="A113" s="254" t="s">
        <v>285</v>
      </c>
      <c r="B113" s="254"/>
      <c r="C113" s="254"/>
      <c r="D113" s="254"/>
    </row>
    <row r="115" customFormat="false" ht="12.75" hidden="false" customHeight="false" outlineLevel="0" collapsed="false">
      <c r="A115" s="25" t="n">
        <v>5</v>
      </c>
      <c r="B115" s="205" t="s">
        <v>286</v>
      </c>
      <c r="C115" s="205"/>
      <c r="D115" s="17" t="s">
        <v>199</v>
      </c>
    </row>
    <row r="116" customFormat="false" ht="12.75" hidden="false" customHeight="false" outlineLevel="0" collapsed="false">
      <c r="A116" s="128" t="s">
        <v>14</v>
      </c>
      <c r="B116" s="10" t="s">
        <v>287</v>
      </c>
      <c r="C116" s="10"/>
      <c r="D116" s="78" t="n">
        <f aca="false">+Uniforme!G141</f>
        <v>0</v>
      </c>
    </row>
    <row r="117" customFormat="false" ht="12.75" hidden="false" customHeight="false" outlineLevel="0" collapsed="false">
      <c r="A117" s="128" t="s">
        <v>244</v>
      </c>
      <c r="B117" s="110" t="s">
        <v>245</v>
      </c>
      <c r="C117" s="225" t="n">
        <f aca="false">+$C$135+$C$136</f>
        <v>0.0365</v>
      </c>
      <c r="D117" s="243" t="n">
        <f aca="false">+(C117*D116)*-1</f>
        <v>0</v>
      </c>
    </row>
    <row r="118" customFormat="false" ht="12.75" hidden="false" customHeight="false" outlineLevel="0" collapsed="false">
      <c r="A118" s="128" t="s">
        <v>16</v>
      </c>
      <c r="B118" s="10" t="s">
        <v>288</v>
      </c>
      <c r="C118" s="10"/>
      <c r="D118" s="78"/>
    </row>
    <row r="119" customFormat="false" ht="12.75" hidden="false" customHeight="false" outlineLevel="0" collapsed="false">
      <c r="A119" s="128" t="s">
        <v>225</v>
      </c>
      <c r="B119" s="110" t="s">
        <v>245</v>
      </c>
      <c r="C119" s="225" t="n">
        <f aca="false">+$C$135+$C$136</f>
        <v>0.0365</v>
      </c>
      <c r="D119" s="243" t="n">
        <f aca="false">+(C119*D118)*-1</f>
        <v>0</v>
      </c>
    </row>
    <row r="120" customFormat="false" ht="12.75" hidden="false" customHeight="false" outlineLevel="0" collapsed="false">
      <c r="A120" s="128" t="s">
        <v>19</v>
      </c>
      <c r="B120" s="10" t="s">
        <v>289</v>
      </c>
      <c r="C120" s="10"/>
      <c r="D120" s="78" t="n">
        <f aca="false">+Uniforme!F149</f>
        <v>0</v>
      </c>
    </row>
    <row r="121" customFormat="false" ht="12.75" hidden="false" customHeight="false" outlineLevel="0" collapsed="false">
      <c r="A121" s="128" t="s">
        <v>248</v>
      </c>
      <c r="B121" s="110" t="s">
        <v>245</v>
      </c>
      <c r="C121" s="225" t="n">
        <f aca="false">+$C$135+$C$136</f>
        <v>0.0365</v>
      </c>
      <c r="D121" s="243" t="n">
        <f aca="false">+(C121*D120)*-1</f>
        <v>0</v>
      </c>
    </row>
    <row r="122" customFormat="false" ht="12.75" hidden="false" customHeight="false" outlineLevel="0" collapsed="false">
      <c r="A122" s="128" t="s">
        <v>21</v>
      </c>
      <c r="B122" s="10" t="s">
        <v>217</v>
      </c>
      <c r="C122" s="10"/>
      <c r="D122" s="78"/>
    </row>
    <row r="123" customFormat="false" ht="12.75" hidden="false" customHeight="false" outlineLevel="0" collapsed="false">
      <c r="A123" s="128" t="s">
        <v>250</v>
      </c>
      <c r="B123" s="110" t="s">
        <v>245</v>
      </c>
      <c r="C123" s="225" t="n">
        <f aca="false">+$C$135+$C$136</f>
        <v>0.0365</v>
      </c>
      <c r="D123" s="243" t="n">
        <f aca="false">+(C123*D122)*-1</f>
        <v>0</v>
      </c>
    </row>
    <row r="124" customFormat="false" ht="12.75" hidden="false" customHeight="false" outlineLevel="0" collapsed="false">
      <c r="A124" s="205" t="s">
        <v>218</v>
      </c>
      <c r="B124" s="205"/>
      <c r="C124" s="205"/>
      <c r="D124" s="27" t="n">
        <f aca="false">SUM(D116:D122)</f>
        <v>0</v>
      </c>
    </row>
    <row r="126" customFormat="false" ht="12.75" hidden="false" customHeight="false" outlineLevel="0" collapsed="false">
      <c r="A126" s="254" t="s">
        <v>290</v>
      </c>
      <c r="B126" s="254"/>
      <c r="C126" s="254"/>
      <c r="D126" s="254"/>
    </row>
    <row r="128" customFormat="false" ht="12.75" hidden="false" customHeight="false" outlineLevel="0" collapsed="false">
      <c r="A128" s="25" t="n">
        <v>6</v>
      </c>
      <c r="B128" s="222" t="s">
        <v>291</v>
      </c>
      <c r="C128" s="273" t="s">
        <v>198</v>
      </c>
      <c r="D128" s="17" t="s">
        <v>199</v>
      </c>
    </row>
    <row r="129" customFormat="false" ht="12.75" hidden="false" customHeight="false" outlineLevel="0" collapsed="false">
      <c r="A129" s="246" t="s">
        <v>14</v>
      </c>
      <c r="B129" s="246" t="s">
        <v>292</v>
      </c>
      <c r="C129" s="274" t="n">
        <v>0.03</v>
      </c>
      <c r="D129" s="247" t="n">
        <f aca="false">($D$124+$D$111+$D$79+$D$68+$D$23)*C129</f>
        <v>0</v>
      </c>
    </row>
    <row r="130" customFormat="false" ht="12.75" hidden="false" customHeight="false" outlineLevel="0" collapsed="false">
      <c r="A130" s="246" t="s">
        <v>16</v>
      </c>
      <c r="B130" s="246" t="s">
        <v>293</v>
      </c>
      <c r="C130" s="274" t="n">
        <v>0.03</v>
      </c>
      <c r="D130" s="247" t="n">
        <f aca="false">($D$124+$D$111+$D$79+$D$68+$D$23+D129)*C130</f>
        <v>0</v>
      </c>
    </row>
    <row r="131" s="277" customFormat="true" ht="12.75" hidden="false" customHeight="false" outlineLevel="0" collapsed="false">
      <c r="A131" s="275" t="s">
        <v>294</v>
      </c>
      <c r="B131" s="275"/>
      <c r="C131" s="275"/>
      <c r="D131" s="276" t="n">
        <f aca="false">++D130+D129+D124+D111+D79+D68+D23</f>
        <v>0</v>
      </c>
    </row>
    <row r="132" s="277" customFormat="true" ht="12.75" hidden="false" customHeight="true" outlineLevel="0" collapsed="false">
      <c r="A132" s="278" t="s">
        <v>295</v>
      </c>
      <c r="B132" s="278"/>
      <c r="C132" s="278"/>
      <c r="D132" s="276" t="n">
        <f aca="false">ROUND(D131/(1-(C135+C136+C138+C140+C141)),2)</f>
        <v>0</v>
      </c>
    </row>
    <row r="133" customFormat="false" ht="12.75" hidden="false" customHeight="false" outlineLevel="0" collapsed="false">
      <c r="A133" s="128" t="s">
        <v>19</v>
      </c>
      <c r="B133" s="128" t="s">
        <v>296</v>
      </c>
      <c r="C133" s="225"/>
      <c r="D133" s="128"/>
    </row>
    <row r="134" customFormat="false" ht="12.75" hidden="false" customHeight="false" outlineLevel="0" collapsed="false">
      <c r="A134" s="128" t="s">
        <v>248</v>
      </c>
      <c r="B134" s="128" t="s">
        <v>297</v>
      </c>
      <c r="C134" s="225"/>
      <c r="D134" s="128"/>
    </row>
    <row r="135" customFormat="false" ht="12.75" hidden="false" customHeight="false" outlineLevel="0" collapsed="false">
      <c r="A135" s="246" t="s">
        <v>298</v>
      </c>
      <c r="B135" s="246" t="s">
        <v>299</v>
      </c>
      <c r="C135" s="274" t="n">
        <v>0.0065</v>
      </c>
      <c r="D135" s="247" t="n">
        <f aca="false">ROUND(C135*$D$132,2)</f>
        <v>0</v>
      </c>
    </row>
    <row r="136" customFormat="false" ht="12.75" hidden="false" customHeight="false" outlineLevel="0" collapsed="false">
      <c r="A136" s="246" t="s">
        <v>300</v>
      </c>
      <c r="B136" s="246" t="s">
        <v>301</v>
      </c>
      <c r="C136" s="274" t="n">
        <v>0.03</v>
      </c>
      <c r="D136" s="247" t="n">
        <f aca="false">ROUND(C136*$D$132,2)</f>
        <v>0</v>
      </c>
    </row>
    <row r="137" customFormat="false" ht="12.75" hidden="false" customHeight="false" outlineLevel="0" collapsed="false">
      <c r="A137" s="128" t="s">
        <v>302</v>
      </c>
      <c r="B137" s="128" t="s">
        <v>303</v>
      </c>
      <c r="C137" s="225"/>
      <c r="D137" s="129"/>
    </row>
    <row r="138" customFormat="false" ht="12.75" hidden="false" customHeight="false" outlineLevel="0" collapsed="false">
      <c r="A138" s="128" t="s">
        <v>304</v>
      </c>
      <c r="B138" s="128" t="s">
        <v>305</v>
      </c>
      <c r="C138" s="225"/>
      <c r="D138" s="128"/>
    </row>
    <row r="139" customFormat="false" ht="12.75" hidden="false" customHeight="false" outlineLevel="0" collapsed="false">
      <c r="A139" s="128" t="s">
        <v>306</v>
      </c>
      <c r="B139" s="128" t="s">
        <v>307</v>
      </c>
      <c r="C139" s="225"/>
      <c r="D139" s="128"/>
    </row>
    <row r="140" customFormat="false" ht="12.75" hidden="false" customHeight="false" outlineLevel="0" collapsed="false">
      <c r="A140" s="246" t="s">
        <v>308</v>
      </c>
      <c r="B140" s="246" t="s">
        <v>309</v>
      </c>
      <c r="C140" s="274" t="n">
        <v>0.05</v>
      </c>
      <c r="D140" s="247" t="n">
        <f aca="false">ROUND(C140*$D$132,2)</f>
        <v>0</v>
      </c>
    </row>
    <row r="141" customFormat="false" ht="12.75" hidden="false" customHeight="false" outlineLevel="0" collapsed="false">
      <c r="A141" s="128" t="s">
        <v>310</v>
      </c>
      <c r="B141" s="128" t="s">
        <v>311</v>
      </c>
      <c r="C141" s="225"/>
      <c r="D141" s="128"/>
    </row>
    <row r="142" customFormat="false" ht="12.75" hidden="false" customHeight="false" outlineLevel="0" collapsed="false">
      <c r="A142" s="235" t="s">
        <v>218</v>
      </c>
      <c r="B142" s="235"/>
      <c r="C142" s="279" t="n">
        <f aca="false">+C141+C140+C138+C136+C135+C130+C129</f>
        <v>0.1465</v>
      </c>
      <c r="D142" s="27" t="n">
        <f aca="false">+D140+D138+D136+D135+D130+D129</f>
        <v>0</v>
      </c>
    </row>
    <row r="144" customFormat="false" ht="12.75" hidden="false" customHeight="false" outlineLevel="0" collapsed="false">
      <c r="A144" s="339" t="s">
        <v>312</v>
      </c>
      <c r="B144" s="339"/>
      <c r="C144" s="339"/>
      <c r="D144" s="339"/>
    </row>
    <row r="145" customFormat="false" ht="12.75" hidden="false" customHeight="false" outlineLevel="0" collapsed="false">
      <c r="A145" s="128" t="s">
        <v>14</v>
      </c>
      <c r="B145" s="263" t="s">
        <v>313</v>
      </c>
      <c r="C145" s="263"/>
      <c r="D145" s="78" t="n">
        <f aca="false">+D23</f>
        <v>0</v>
      </c>
    </row>
    <row r="146" customFormat="false" ht="12.75" hidden="false" customHeight="false" outlineLevel="0" collapsed="false">
      <c r="A146" s="128" t="s">
        <v>314</v>
      </c>
      <c r="B146" s="263" t="s">
        <v>315</v>
      </c>
      <c r="C146" s="263"/>
      <c r="D146" s="78" t="n">
        <f aca="false">+D68</f>
        <v>0</v>
      </c>
    </row>
    <row r="147" customFormat="false" ht="12.75" hidden="false" customHeight="false" outlineLevel="0" collapsed="false">
      <c r="A147" s="128" t="s">
        <v>19</v>
      </c>
      <c r="B147" s="263" t="s">
        <v>316</v>
      </c>
      <c r="C147" s="263"/>
      <c r="D147" s="78" t="n">
        <f aca="false">+D79</f>
        <v>0</v>
      </c>
    </row>
    <row r="148" customFormat="false" ht="12.75" hidden="false" customHeight="false" outlineLevel="0" collapsed="false">
      <c r="A148" s="128" t="s">
        <v>21</v>
      </c>
      <c r="B148" s="263" t="s">
        <v>317</v>
      </c>
      <c r="C148" s="263"/>
      <c r="D148" s="78" t="n">
        <f aca="false">+D111</f>
        <v>0</v>
      </c>
    </row>
    <row r="149" customFormat="false" ht="12.75" hidden="false" customHeight="false" outlineLevel="0" collapsed="false">
      <c r="A149" s="128" t="s">
        <v>204</v>
      </c>
      <c r="B149" s="263" t="s">
        <v>318</v>
      </c>
      <c r="C149" s="263"/>
      <c r="D149" s="78" t="n">
        <f aca="false">+D124</f>
        <v>0</v>
      </c>
    </row>
    <row r="150" customFormat="false" ht="12.75" hidden="false" customHeight="false" outlineLevel="0" collapsed="false">
      <c r="B150" s="281" t="s">
        <v>319</v>
      </c>
      <c r="C150" s="281"/>
      <c r="D150" s="282" t="n">
        <f aca="false">SUM(D145:D149)</f>
        <v>0</v>
      </c>
    </row>
    <row r="151" customFormat="false" ht="12.75" hidden="false" customHeight="false" outlineLevel="0" collapsed="false">
      <c r="A151" s="128" t="s">
        <v>206</v>
      </c>
      <c r="B151" s="263" t="s">
        <v>320</v>
      </c>
      <c r="C151" s="263"/>
      <c r="D151" s="78" t="n">
        <f aca="false">+D142</f>
        <v>0</v>
      </c>
    </row>
    <row r="153" customFormat="false" ht="12.75" hidden="false" customHeight="false" outlineLevel="0" collapsed="false">
      <c r="A153" s="340" t="s">
        <v>321</v>
      </c>
      <c r="B153" s="340"/>
      <c r="C153" s="340"/>
      <c r="D153" s="284" t="n">
        <f aca="false">ROUND(+D151+D150,2)</f>
        <v>0</v>
      </c>
    </row>
    <row r="155" customFormat="false" ht="12.75" hidden="false" customHeight="false" outlineLevel="0" collapsed="false">
      <c r="A155" s="285" t="s">
        <v>322</v>
      </c>
      <c r="B155" s="285"/>
      <c r="C155" s="285"/>
      <c r="D155" s="285"/>
    </row>
    <row r="157" customFormat="false" ht="12.75" hidden="false" customHeight="false" outlineLevel="0" collapsed="false">
      <c r="A157" s="128" t="s">
        <v>14</v>
      </c>
      <c r="B157" s="128" t="s">
        <v>223</v>
      </c>
      <c r="C157" s="286" t="e">
        <f aca="false">+C29</f>
        <v>#DIV/0!</v>
      </c>
      <c r="D157" s="78" t="n">
        <f aca="false">+D29</f>
        <v>0</v>
      </c>
    </row>
    <row r="158" customFormat="false" ht="12.75" hidden="false" customHeight="false" outlineLevel="0" collapsed="false">
      <c r="A158" s="128" t="s">
        <v>16</v>
      </c>
      <c r="B158" s="128" t="s">
        <v>226</v>
      </c>
      <c r="C158" s="286" t="e">
        <f aca="false">+C31</f>
        <v>#DIV/0!</v>
      </c>
      <c r="D158" s="78" t="n">
        <f aca="false">+D31</f>
        <v>0</v>
      </c>
    </row>
    <row r="159" customFormat="false" ht="12.75" hidden="false" customHeight="false" outlineLevel="0" collapsed="false">
      <c r="A159" s="128" t="s">
        <v>19</v>
      </c>
      <c r="B159" s="128" t="s">
        <v>228</v>
      </c>
      <c r="C159" s="286" t="e">
        <f aca="false">+C32</f>
        <v>#DIV/0!</v>
      </c>
      <c r="D159" s="78" t="n">
        <f aca="false">+D32</f>
        <v>0</v>
      </c>
    </row>
    <row r="160" customFormat="false" ht="25.5" hidden="false" customHeight="false" outlineLevel="0" collapsed="false">
      <c r="A160" s="128" t="s">
        <v>21</v>
      </c>
      <c r="B160" s="261" t="s">
        <v>261</v>
      </c>
      <c r="C160" s="225" t="e">
        <f aca="false">+C75</f>
        <v>#DIV/0!</v>
      </c>
      <c r="D160" s="78" t="n">
        <f aca="false">+D75</f>
        <v>0</v>
      </c>
    </row>
    <row r="161" customFormat="false" ht="25.5" hidden="false" customHeight="false" outlineLevel="0" collapsed="false">
      <c r="A161" s="128" t="s">
        <v>204</v>
      </c>
      <c r="B161" s="261" t="s">
        <v>264</v>
      </c>
      <c r="C161" s="286" t="e">
        <f aca="false">+C78</f>
        <v>#DIV/0!</v>
      </c>
      <c r="D161" s="129" t="n">
        <f aca="false">+D78</f>
        <v>0</v>
      </c>
    </row>
    <row r="162" customFormat="false" ht="12.75" hidden="false" customHeight="false" outlineLevel="0" collapsed="false">
      <c r="A162" s="128" t="s">
        <v>254</v>
      </c>
      <c r="B162" s="110" t="s">
        <v>323</v>
      </c>
      <c r="C162" s="287" t="e">
        <f aca="false">+(D162+D163+D164)/D23</f>
        <v>#DIV/0!</v>
      </c>
      <c r="D162" s="78" t="n">
        <f aca="false">ROUND(D29*(SUM($C$37:$C$44)),2)</f>
        <v>0</v>
      </c>
    </row>
    <row r="163" customFormat="false" ht="12.75" hidden="false" customHeight="false" outlineLevel="0" collapsed="false">
      <c r="A163" s="128" t="s">
        <v>324</v>
      </c>
      <c r="B163" s="110" t="s">
        <v>325</v>
      </c>
      <c r="C163" s="287"/>
      <c r="D163" s="78" t="n">
        <f aca="false">ROUND(D31*(SUM($C$37:$C$44)),2)</f>
        <v>0</v>
      </c>
    </row>
    <row r="164" customFormat="false" ht="12.75" hidden="false" customHeight="false" outlineLevel="0" collapsed="false">
      <c r="A164" s="128" t="s">
        <v>326</v>
      </c>
      <c r="B164" s="110" t="s">
        <v>327</v>
      </c>
      <c r="C164" s="287"/>
      <c r="D164" s="78" t="n">
        <f aca="false">ROUND(D32*(SUM($C$37:$C$44)),2)</f>
        <v>0</v>
      </c>
    </row>
    <row r="165" customFormat="false" ht="12.75" hidden="false" customHeight="false" outlineLevel="0" collapsed="false">
      <c r="A165" s="254" t="s">
        <v>218</v>
      </c>
      <c r="B165" s="254"/>
      <c r="C165" s="254"/>
      <c r="D165" s="288" t="n">
        <f aca="false">SUM(D157:D164)</f>
        <v>0</v>
      </c>
    </row>
    <row r="166" customFormat="false" ht="12.75" hidden="false" customHeight="false" outlineLevel="0" collapsed="false">
      <c r="B166" s="289"/>
      <c r="C166" s="289"/>
      <c r="D166" s="289"/>
    </row>
    <row r="167" customFormat="false" ht="12.75" hidden="false" customHeight="false" outlineLevel="0" collapsed="false">
      <c r="A167" s="292"/>
      <c r="B167" s="292"/>
      <c r="C167" s="292"/>
      <c r="D167" s="292"/>
      <c r="E167" s="292"/>
    </row>
    <row r="168" s="127" customFormat="true" ht="48.75" hidden="false" customHeight="true" outlineLevel="0" collapsed="false">
      <c r="A168" s="290" t="s">
        <v>328</v>
      </c>
      <c r="B168" s="290"/>
      <c r="C168" s="290"/>
      <c r="D168" s="290"/>
      <c r="E168" s="291"/>
    </row>
    <row r="169" customFormat="false" ht="12.75" hidden="false" customHeight="false" outlineLevel="0" collapsed="false">
      <c r="A169" s="292"/>
      <c r="B169" s="292"/>
      <c r="C169" s="292"/>
      <c r="D169" s="292"/>
      <c r="E169" s="292"/>
    </row>
    <row r="170" customFormat="false" ht="44.25" hidden="false" customHeight="true" outlineLevel="0" collapsed="false">
      <c r="A170" s="293" t="s">
        <v>329</v>
      </c>
      <c r="B170" s="293"/>
      <c r="C170" s="293"/>
      <c r="D170" s="293"/>
      <c r="E170" s="292"/>
    </row>
  </sheetData>
  <mergeCells count="83"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25:D25"/>
    <mergeCell ref="A27:D27"/>
    <mergeCell ref="A33:C33"/>
    <mergeCell ref="A35:D35"/>
    <mergeCell ref="A47:D47"/>
    <mergeCell ref="B59:C59"/>
    <mergeCell ref="A61:B61"/>
    <mergeCell ref="A63:D63"/>
    <mergeCell ref="B64:C64"/>
    <mergeCell ref="B65:C65"/>
    <mergeCell ref="B66:C66"/>
    <mergeCell ref="B67:C67"/>
    <mergeCell ref="A68:C68"/>
    <mergeCell ref="A70:D70"/>
    <mergeCell ref="A79:C79"/>
    <mergeCell ref="A81:D81"/>
    <mergeCell ref="A83:D83"/>
    <mergeCell ref="B84:C84"/>
    <mergeCell ref="B85:C85"/>
    <mergeCell ref="B86:C86"/>
    <mergeCell ref="B87:C87"/>
    <mergeCell ref="B88:C88"/>
    <mergeCell ref="B89:C89"/>
    <mergeCell ref="B90:C90"/>
    <mergeCell ref="B91:C91"/>
    <mergeCell ref="B92:C92"/>
    <mergeCell ref="A93:C93"/>
    <mergeCell ref="B95:C95"/>
    <mergeCell ref="B96:C96"/>
    <mergeCell ref="B97:C97"/>
    <mergeCell ref="B98:C98"/>
    <mergeCell ref="B99:C99"/>
    <mergeCell ref="A100:C100"/>
    <mergeCell ref="B102:C102"/>
    <mergeCell ref="B103:C103"/>
    <mergeCell ref="A104:C104"/>
    <mergeCell ref="B107:C107"/>
    <mergeCell ref="B108:C108"/>
    <mergeCell ref="B109:C109"/>
    <mergeCell ref="B110:C110"/>
    <mergeCell ref="A111:C111"/>
    <mergeCell ref="A113:D113"/>
    <mergeCell ref="B115:C115"/>
    <mergeCell ref="B116:C116"/>
    <mergeCell ref="B118:C118"/>
    <mergeCell ref="B120:C120"/>
    <mergeCell ref="B122:C122"/>
    <mergeCell ref="A124:C124"/>
    <mergeCell ref="A126:D126"/>
    <mergeCell ref="A131:C131"/>
    <mergeCell ref="A132:C132"/>
    <mergeCell ref="A142:B142"/>
    <mergeCell ref="A144:D144"/>
    <mergeCell ref="B145:C145"/>
    <mergeCell ref="B146:C146"/>
    <mergeCell ref="B147:C147"/>
    <mergeCell ref="B148:C148"/>
    <mergeCell ref="B149:C149"/>
    <mergeCell ref="B150:C150"/>
    <mergeCell ref="B151:C151"/>
    <mergeCell ref="A153:C153"/>
    <mergeCell ref="A155:D155"/>
    <mergeCell ref="C162:C164"/>
    <mergeCell ref="A165:C165"/>
    <mergeCell ref="A168:D168"/>
    <mergeCell ref="A170:D170"/>
  </mergeCells>
  <printOptions headings="false" gridLines="false" gridLinesSet="true" horizontalCentered="false" verticalCentered="false"/>
  <pageMargins left="1.06319444444444" right="0.511805555555555" top="0.39375" bottom="0.540277777777778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 filterMode="false">
    <tabColor rgb="FF4A452A"/>
    <pageSetUpPr fitToPage="false"/>
  </sheetPr>
  <dimension ref="A1:D2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27" activeCellId="0" sqref="A27"/>
    </sheetView>
  </sheetViews>
  <sheetFormatPr defaultRowHeight="12.75" zeroHeight="false" outlineLevelRow="0" outlineLevelCol="0"/>
  <cols>
    <col collapsed="false" customWidth="true" hidden="false" outlineLevel="0" max="1" min="1" style="0" width="64.5"/>
    <col collapsed="false" customWidth="true" hidden="false" outlineLevel="0" max="2" min="2" style="0" width="12.25"/>
    <col collapsed="false" customWidth="true" hidden="false" outlineLevel="0" max="3" min="3" style="0" width="11.88"/>
    <col collapsed="false" customWidth="true" hidden="false" outlineLevel="0" max="4" min="4" style="0" width="9.38"/>
    <col collapsed="false" customWidth="true" hidden="false" outlineLevel="0" max="5" min="5" style="0" width="69.12"/>
    <col collapsed="false" customWidth="true" hidden="false" outlineLevel="0" max="1025" min="6" style="0" width="8.59"/>
  </cols>
  <sheetData>
    <row r="1" customFormat="false" ht="16.5" hidden="false" customHeight="false" outlineLevel="0" collapsed="false">
      <c r="A1" s="370" t="s">
        <v>461</v>
      </c>
      <c r="B1" s="370"/>
      <c r="C1" s="370"/>
    </row>
    <row r="3" customFormat="false" ht="12.75" hidden="false" customHeight="false" outlineLevel="0" collapsed="false">
      <c r="A3" s="128" t="s">
        <v>332</v>
      </c>
      <c r="B3" s="128" t="n">
        <v>220</v>
      </c>
    </row>
    <row r="4" customFormat="false" ht="12.75" hidden="false" customHeight="false" outlineLevel="0" collapsed="false">
      <c r="A4" s="128" t="s">
        <v>333</v>
      </c>
      <c r="B4" s="128" t="n">
        <v>365.25</v>
      </c>
    </row>
    <row r="5" customFormat="false" ht="12.75" hidden="false" customHeight="false" outlineLevel="0" collapsed="false">
      <c r="A5" s="128" t="s">
        <v>334</v>
      </c>
      <c r="B5" s="295" t="n">
        <f aca="false">(365.25/12/2)/(7/7)</f>
        <v>15.21875</v>
      </c>
    </row>
    <row r="6" customFormat="false" ht="12.75" hidden="false" customHeight="false" outlineLevel="0" collapsed="false">
      <c r="A6" s="110" t="s">
        <v>200</v>
      </c>
      <c r="B6" s="129" t="n">
        <f aca="false">+'Vigilante 12x36 Noturno Des'!D12</f>
        <v>0</v>
      </c>
    </row>
    <row r="7" customFormat="false" ht="12.75" hidden="false" customHeight="false" outlineLevel="0" collapsed="false">
      <c r="A7" s="110" t="s">
        <v>335</v>
      </c>
      <c r="B7" s="129" t="n">
        <f aca="false">+'Vigilante 12x36 Noturno Des'!D23</f>
        <v>0</v>
      </c>
    </row>
    <row r="9" customFormat="false" ht="12.75" hidden="false" customHeight="false" outlineLevel="0" collapsed="false">
      <c r="A9" s="255" t="s">
        <v>336</v>
      </c>
      <c r="B9" s="255"/>
      <c r="C9" s="255"/>
    </row>
    <row r="10" customFormat="false" ht="12.75" hidden="false" customHeight="false" outlineLevel="0" collapsed="false">
      <c r="A10" s="128" t="s">
        <v>200</v>
      </c>
      <c r="B10" s="260"/>
      <c r="C10" s="296" t="n">
        <f aca="false">+'Vigilante 12x36 Noturno Des'!D12</f>
        <v>0</v>
      </c>
    </row>
    <row r="11" customFormat="false" ht="12.75" hidden="false" customHeight="false" outlineLevel="0" collapsed="false">
      <c r="A11" s="128" t="s">
        <v>201</v>
      </c>
      <c r="B11" s="260"/>
      <c r="C11" s="296" t="n">
        <f aca="false">+'Vigilante 12x36 Noturno Des'!D13</f>
        <v>0</v>
      </c>
    </row>
    <row r="12" customFormat="false" ht="12.75" hidden="false" customHeight="false" outlineLevel="0" collapsed="false">
      <c r="A12" s="128" t="s">
        <v>202</v>
      </c>
      <c r="B12" s="260"/>
      <c r="C12" s="296" t="n">
        <f aca="false">+'Vigilante 12x36 Noturno Des'!D14</f>
        <v>0</v>
      </c>
    </row>
    <row r="13" customFormat="false" ht="12.75" hidden="false" customHeight="false" outlineLevel="0" collapsed="false">
      <c r="A13" s="128" t="s">
        <v>203</v>
      </c>
      <c r="B13" s="260"/>
      <c r="C13" s="296" t="n">
        <f aca="false">+'Vigilante 12x36 Noturno Des'!D15</f>
        <v>0</v>
      </c>
    </row>
    <row r="14" customFormat="false" ht="12.75" hidden="false" customHeight="false" outlineLevel="0" collapsed="false">
      <c r="A14" s="128" t="s">
        <v>205</v>
      </c>
      <c r="B14" s="260"/>
      <c r="C14" s="296" t="n">
        <f aca="false">+'Vigilante 12x36 Noturno Des'!D16</f>
        <v>0</v>
      </c>
    </row>
    <row r="15" customFormat="false" ht="12.75" hidden="false" customHeight="false" outlineLevel="0" collapsed="false">
      <c r="A15" s="0" t="s">
        <v>213</v>
      </c>
      <c r="B15" s="260"/>
      <c r="C15" s="296" t="n">
        <f aca="false">+'Vigilante 12x36 Noturno Des'!D20</f>
        <v>0</v>
      </c>
    </row>
    <row r="16" customFormat="false" ht="12.75" hidden="false" customHeight="false" outlineLevel="0" collapsed="false">
      <c r="A16" s="230" t="s">
        <v>337</v>
      </c>
      <c r="B16" s="297"/>
      <c r="C16" s="298" t="n">
        <f aca="false">SUM(C10:C15)</f>
        <v>0</v>
      </c>
    </row>
    <row r="17" customFormat="false" ht="12.75" hidden="false" customHeight="false" outlineLevel="0" collapsed="false">
      <c r="A17" s="128" t="s">
        <v>332</v>
      </c>
      <c r="B17" s="299" t="n">
        <f aca="false">+B3</f>
        <v>220</v>
      </c>
      <c r="C17" s="241"/>
    </row>
    <row r="18" customFormat="false" ht="12.75" hidden="false" customHeight="false" outlineLevel="0" collapsed="false">
      <c r="A18" s="230" t="s">
        <v>338</v>
      </c>
      <c r="B18" s="297"/>
      <c r="C18" s="232" t="n">
        <f aca="false">+C16/B17</f>
        <v>0</v>
      </c>
    </row>
    <row r="19" customFormat="false" ht="12.75" hidden="false" customHeight="false" outlineLevel="0" collapsed="false">
      <c r="A19" s="128" t="s">
        <v>339</v>
      </c>
      <c r="B19" s="128" t="n">
        <v>16</v>
      </c>
      <c r="C19" s="241"/>
    </row>
    <row r="20" customFormat="false" ht="12.75" hidden="false" customHeight="false" outlineLevel="0" collapsed="false">
      <c r="A20" s="128" t="s">
        <v>340</v>
      </c>
      <c r="B20" s="128" t="n">
        <v>12</v>
      </c>
      <c r="C20" s="241"/>
    </row>
    <row r="21" customFormat="false" ht="12.75" hidden="false" customHeight="false" outlineLevel="0" collapsed="false">
      <c r="A21" s="128" t="s">
        <v>341</v>
      </c>
      <c r="B21" s="128" t="n">
        <f aca="false">+B20*B19</f>
        <v>192</v>
      </c>
      <c r="C21" s="78" t="n">
        <f aca="false">+B21*C18</f>
        <v>0</v>
      </c>
    </row>
    <row r="22" customFormat="false" ht="12.75" hidden="false" customHeight="false" outlineLevel="0" collapsed="false">
      <c r="A22" s="128" t="s">
        <v>342</v>
      </c>
      <c r="B22" s="225" t="n">
        <v>0.5</v>
      </c>
      <c r="C22" s="78" t="n">
        <f aca="false">+B22*C21</f>
        <v>0</v>
      </c>
    </row>
    <row r="23" customFormat="false" ht="12.75" hidden="false" customHeight="false" outlineLevel="0" collapsed="false">
      <c r="A23" s="128" t="s">
        <v>343</v>
      </c>
      <c r="B23" s="225" t="n">
        <v>1</v>
      </c>
      <c r="C23" s="78" t="n">
        <f aca="false">+B23*C22</f>
        <v>0</v>
      </c>
    </row>
    <row r="24" customFormat="false" ht="12.75" hidden="false" customHeight="false" outlineLevel="0" collapsed="false">
      <c r="A24" s="128" t="s">
        <v>344</v>
      </c>
      <c r="B24" s="128" t="n">
        <v>12</v>
      </c>
      <c r="C24" s="300"/>
    </row>
    <row r="25" customFormat="false" ht="12.75" hidden="false" customHeight="false" outlineLevel="0" collapsed="false">
      <c r="A25" s="268" t="s">
        <v>345</v>
      </c>
      <c r="B25" s="268"/>
      <c r="C25" s="288" t="n">
        <f aca="false">+C23/B24</f>
        <v>0</v>
      </c>
    </row>
    <row r="26" customFormat="false" ht="12.75" hidden="false" customHeight="false" outlineLevel="0" collapsed="false">
      <c r="C26" s="245"/>
    </row>
    <row r="27" customFormat="false" ht="12.75" hidden="false" customHeight="false" outlineLevel="0" collapsed="false">
      <c r="A27" s="255" t="s">
        <v>346</v>
      </c>
      <c r="B27" s="255"/>
      <c r="C27" s="255"/>
    </row>
    <row r="28" customFormat="false" ht="12.75" hidden="false" customHeight="false" outlineLevel="0" collapsed="false">
      <c r="A28" s="128" t="s">
        <v>338</v>
      </c>
      <c r="B28" s="260"/>
      <c r="C28" s="296" t="n">
        <f aca="false">+C18</f>
        <v>0</v>
      </c>
    </row>
    <row r="29" customFormat="false" ht="12.75" hidden="false" customHeight="false" outlineLevel="0" collapsed="false">
      <c r="A29" s="128" t="s">
        <v>341</v>
      </c>
      <c r="B29" s="128" t="n">
        <v>192</v>
      </c>
      <c r="C29" s="241"/>
    </row>
    <row r="30" customFormat="false" ht="12.75" hidden="false" customHeight="false" outlineLevel="0" collapsed="false">
      <c r="A30" s="128" t="s">
        <v>347</v>
      </c>
      <c r="B30" s="128" t="n">
        <f aca="false">+$B$4</f>
        <v>365.25</v>
      </c>
      <c r="C30" s="241"/>
    </row>
    <row r="31" customFormat="false" ht="12.75" hidden="false" customHeight="false" outlineLevel="0" collapsed="false">
      <c r="A31" s="128" t="s">
        <v>339</v>
      </c>
      <c r="B31" s="128" t="n">
        <v>16</v>
      </c>
      <c r="C31" s="241"/>
    </row>
    <row r="32" customFormat="false" ht="12.75" hidden="false" customHeight="false" outlineLevel="0" collapsed="false">
      <c r="A32" s="128" t="s">
        <v>342</v>
      </c>
      <c r="B32" s="225" t="n">
        <v>0.5</v>
      </c>
      <c r="C32" s="241"/>
    </row>
    <row r="33" customFormat="false" ht="12.75" hidden="false" customHeight="false" outlineLevel="0" collapsed="false">
      <c r="A33" s="128" t="s">
        <v>348</v>
      </c>
      <c r="B33" s="301" t="n">
        <f aca="false">ROUND(((B30/7)*6)-B31,2)</f>
        <v>297.07</v>
      </c>
      <c r="C33" s="241"/>
    </row>
    <row r="34" customFormat="false" ht="12.75" hidden="false" customHeight="false" outlineLevel="0" collapsed="false">
      <c r="A34" s="128" t="s">
        <v>349</v>
      </c>
      <c r="B34" s="110" t="n">
        <v>12</v>
      </c>
      <c r="C34" s="241"/>
    </row>
    <row r="35" customFormat="false" ht="25.5" hidden="false" customHeight="false" outlineLevel="0" collapsed="false">
      <c r="A35" s="261" t="s">
        <v>350</v>
      </c>
      <c r="B35" s="128" t="n">
        <f aca="false">+((B29/B34)*B32)/B33</f>
        <v>0.0269296798734305</v>
      </c>
      <c r="C35" s="241"/>
    </row>
    <row r="36" customFormat="false" ht="12.75" hidden="false" customHeight="false" outlineLevel="0" collapsed="false">
      <c r="A36" s="253" t="s">
        <v>351</v>
      </c>
      <c r="B36" s="253"/>
      <c r="C36" s="288" t="n">
        <f aca="false">+C28*(B30-B33)*B35</f>
        <v>0</v>
      </c>
    </row>
    <row r="37" customFormat="false" ht="12.75" hidden="false" customHeight="false" outlineLevel="0" collapsed="false">
      <c r="C37" s="245"/>
    </row>
    <row r="38" customFormat="false" ht="12.75" hidden="false" customHeight="false" outlineLevel="0" collapsed="false">
      <c r="A38" s="285" t="s">
        <v>352</v>
      </c>
      <c r="B38" s="285"/>
      <c r="C38" s="285"/>
    </row>
    <row r="39" customFormat="false" ht="12.75" hidden="false" customHeight="false" outlineLevel="0" collapsed="false">
      <c r="A39" s="264" t="s">
        <v>200</v>
      </c>
      <c r="B39" s="302"/>
      <c r="C39" s="303" t="n">
        <f aca="false">+'Vigilante 12x36 Noturno Des'!D12</f>
        <v>0</v>
      </c>
    </row>
    <row r="40" customFormat="false" ht="12.75" hidden="false" customHeight="false" outlineLevel="0" collapsed="false">
      <c r="A40" s="264" t="s">
        <v>201</v>
      </c>
      <c r="B40" s="304"/>
      <c r="C40" s="303" t="n">
        <f aca="false">+'Vigilante 12x36 Noturno Des'!D13</f>
        <v>0</v>
      </c>
    </row>
    <row r="41" customFormat="false" ht="12.75" hidden="false" customHeight="false" outlineLevel="0" collapsed="false">
      <c r="A41" s="264" t="s">
        <v>202</v>
      </c>
      <c r="B41" s="304"/>
      <c r="C41" s="303" t="n">
        <f aca="false">+'Vigilante 12x36 Noturno Des'!D14</f>
        <v>0</v>
      </c>
    </row>
    <row r="42" customFormat="false" ht="12.75" hidden="false" customHeight="false" outlineLevel="0" collapsed="false">
      <c r="A42" s="264" t="s">
        <v>203</v>
      </c>
      <c r="B42" s="304"/>
      <c r="C42" s="303" t="n">
        <f aca="false">+'Vigilante 12x36 Noturno Des'!D15</f>
        <v>0</v>
      </c>
    </row>
    <row r="43" customFormat="false" ht="12.75" hidden="false" customHeight="false" outlineLevel="0" collapsed="false">
      <c r="A43" s="264" t="s">
        <v>205</v>
      </c>
      <c r="B43" s="304"/>
      <c r="C43" s="303" t="n">
        <f aca="false">+'Vigilante 12x36 Noturno Des'!D16</f>
        <v>0</v>
      </c>
    </row>
    <row r="44" customFormat="false" ht="12.75" hidden="false" customHeight="false" outlineLevel="0" collapsed="false">
      <c r="A44" s="264" t="s">
        <v>209</v>
      </c>
      <c r="B44" s="304"/>
      <c r="C44" s="303" t="n">
        <f aca="false">+'Vigilante 12x36 Noturno Des'!D18</f>
        <v>0</v>
      </c>
    </row>
    <row r="45" customFormat="false" ht="12.75" hidden="false" customHeight="false" outlineLevel="0" collapsed="false">
      <c r="A45" s="264" t="s">
        <v>213</v>
      </c>
      <c r="B45" s="304"/>
      <c r="C45" s="303" t="n">
        <f aca="false">+'Vigilante 12x36 Noturno Des'!D20</f>
        <v>0</v>
      </c>
    </row>
    <row r="46" customFormat="false" ht="12.75" hidden="false" customHeight="false" outlineLevel="0" collapsed="false">
      <c r="A46" s="230" t="s">
        <v>353</v>
      </c>
      <c r="B46" s="305"/>
      <c r="C46" s="306" t="n">
        <f aca="false">SUM(C39:C45)</f>
        <v>0</v>
      </c>
    </row>
    <row r="47" customFormat="false" ht="12.75" hidden="false" customHeight="false" outlineLevel="0" collapsed="false">
      <c r="A47" s="128" t="s">
        <v>332</v>
      </c>
      <c r="B47" s="299" t="n">
        <f aca="false">+B3</f>
        <v>220</v>
      </c>
      <c r="C47" s="304"/>
    </row>
    <row r="48" customFormat="false" ht="12.75" hidden="false" customHeight="false" outlineLevel="0" collapsed="false">
      <c r="A48" s="128" t="s">
        <v>338</v>
      </c>
      <c r="B48" s="304"/>
      <c r="C48" s="307" t="n">
        <f aca="false">ROUND(+C46/B47,2)</f>
        <v>0</v>
      </c>
    </row>
    <row r="49" customFormat="false" ht="12.75" hidden="false" customHeight="false" outlineLevel="0" collapsed="false">
      <c r="A49" s="128" t="s">
        <v>354</v>
      </c>
      <c r="B49" s="295" t="n">
        <f aca="false">(365.25/12/2)/(7/7)</f>
        <v>15.21875</v>
      </c>
      <c r="C49" s="304"/>
    </row>
    <row r="50" customFormat="false" ht="12.75" hidden="false" customHeight="false" outlineLevel="0" collapsed="false">
      <c r="A50" s="128" t="s">
        <v>355</v>
      </c>
      <c r="B50" s="225" t="n">
        <v>0.5</v>
      </c>
      <c r="C50" s="128"/>
    </row>
    <row r="51" customFormat="false" ht="12.75" hidden="false" customHeight="false" outlineLevel="0" collapsed="false">
      <c r="A51" s="268" t="s">
        <v>356</v>
      </c>
      <c r="B51" s="268"/>
      <c r="C51" s="288" t="n">
        <f aca="false">ROUND((B49*C48)*(1+B50),2)</f>
        <v>0</v>
      </c>
    </row>
    <row r="53" customFormat="false" ht="12.75" hidden="false" customHeight="false" outlineLevel="0" collapsed="false">
      <c r="A53" s="285" t="s">
        <v>357</v>
      </c>
      <c r="B53" s="285"/>
      <c r="C53" s="285"/>
    </row>
    <row r="54" customFormat="false" ht="12.75" hidden="false" customHeight="false" outlineLevel="0" collapsed="false">
      <c r="A54" s="128" t="s">
        <v>347</v>
      </c>
      <c r="B54" s="128" t="n">
        <v>365.25</v>
      </c>
      <c r="C54" s="260"/>
    </row>
    <row r="55" customFormat="false" ht="12.75" hidden="false" customHeight="false" outlineLevel="0" collapsed="false">
      <c r="A55" s="128" t="s">
        <v>349</v>
      </c>
      <c r="B55" s="110" t="n">
        <v>12</v>
      </c>
      <c r="C55" s="260"/>
    </row>
    <row r="56" customFormat="false" ht="12.75" hidden="false" customHeight="false" outlineLevel="0" collapsed="false">
      <c r="A56" s="128" t="s">
        <v>358</v>
      </c>
      <c r="B56" s="225" t="n">
        <v>0.5</v>
      </c>
      <c r="C56" s="260"/>
    </row>
    <row r="57" customFormat="false" ht="12.75" hidden="false" customHeight="false" outlineLevel="0" collapsed="false">
      <c r="A57" s="308" t="s">
        <v>440</v>
      </c>
      <c r="B57" s="110" t="n">
        <v>7</v>
      </c>
      <c r="C57" s="260"/>
    </row>
    <row r="58" customFormat="false" ht="12.75" hidden="false" customHeight="false" outlineLevel="0" collapsed="false">
      <c r="A58" s="110" t="s">
        <v>360</v>
      </c>
      <c r="B58" s="260"/>
      <c r="C58" s="129" t="n">
        <f aca="false">+'Vigilante 12x36 Noturno Des'!$D$12</f>
        <v>0</v>
      </c>
    </row>
    <row r="59" customFormat="false" ht="12.75" hidden="false" customHeight="false" outlineLevel="0" collapsed="false">
      <c r="A59" s="110" t="s">
        <v>201</v>
      </c>
      <c r="B59" s="260"/>
      <c r="C59" s="129" t="n">
        <f aca="false">+'Vigilante 12x36 Noturno Des'!$D$13</f>
        <v>0</v>
      </c>
    </row>
    <row r="60" customFormat="false" ht="12.75" hidden="false" customHeight="false" outlineLevel="0" collapsed="false">
      <c r="A60" s="110" t="s">
        <v>202</v>
      </c>
      <c r="B60" s="260"/>
      <c r="C60" s="129" t="n">
        <f aca="false">+'Vigilante 12x36 Noturno Des'!$D$14</f>
        <v>0</v>
      </c>
    </row>
    <row r="61" customFormat="false" ht="12.75" hidden="false" customHeight="false" outlineLevel="0" collapsed="false">
      <c r="A61" s="309" t="s">
        <v>337</v>
      </c>
      <c r="B61" s="260"/>
      <c r="C61" s="310" t="n">
        <f aca="false">SUM(C58:C60)</f>
        <v>0</v>
      </c>
    </row>
    <row r="62" customFormat="false" ht="12.75" hidden="false" customHeight="false" outlineLevel="0" collapsed="false">
      <c r="A62" s="128" t="s">
        <v>332</v>
      </c>
      <c r="B62" s="311" t="n">
        <f aca="false">+B3</f>
        <v>220</v>
      </c>
      <c r="C62" s="260"/>
    </row>
    <row r="63" customFormat="false" ht="12.75" hidden="false" customHeight="false" outlineLevel="0" collapsed="false">
      <c r="A63" s="110" t="s">
        <v>361</v>
      </c>
      <c r="B63" s="225" t="n">
        <v>0.2</v>
      </c>
      <c r="C63" s="260"/>
    </row>
    <row r="64" customFormat="false" ht="12.75" hidden="false" customHeight="false" outlineLevel="0" collapsed="false">
      <c r="A64" s="110" t="s">
        <v>362</v>
      </c>
      <c r="B64" s="260"/>
      <c r="C64" s="78" t="n">
        <f aca="false">ROUND((C61/B62)*B63,2)</f>
        <v>0</v>
      </c>
    </row>
    <row r="65" customFormat="false" ht="12.75" hidden="false" customHeight="false" outlineLevel="0" collapsed="false">
      <c r="A65" s="110" t="s">
        <v>363</v>
      </c>
      <c r="B65" s="128" t="n">
        <f aca="false">ROUND(+B54/B55*B56*B57,0)</f>
        <v>107</v>
      </c>
      <c r="C65" s="312"/>
    </row>
    <row r="66" customFormat="false" ht="12.75" hidden="false" customHeight="false" outlineLevel="0" collapsed="false">
      <c r="A66" s="313" t="s">
        <v>364</v>
      </c>
      <c r="B66" s="313"/>
      <c r="C66" s="26" t="n">
        <f aca="false">ROUND(+B65*C64,2)</f>
        <v>0</v>
      </c>
    </row>
    <row r="68" customFormat="false" ht="12.75" hidden="false" customHeight="false" outlineLevel="0" collapsed="false">
      <c r="A68" s="255" t="s">
        <v>365</v>
      </c>
      <c r="B68" s="255"/>
      <c r="C68" s="255"/>
    </row>
    <row r="69" customFormat="false" ht="12.75" hidden="false" customHeight="false" outlineLevel="0" collapsed="false">
      <c r="A69" s="128" t="s">
        <v>338</v>
      </c>
      <c r="B69" s="260"/>
      <c r="C69" s="296" t="n">
        <f aca="false">+C66</f>
        <v>0</v>
      </c>
    </row>
    <row r="70" customFormat="false" ht="12.75" hidden="false" customHeight="false" outlineLevel="0" collapsed="false">
      <c r="A70" s="128" t="s">
        <v>341</v>
      </c>
      <c r="B70" s="128" t="n">
        <v>192</v>
      </c>
      <c r="C70" s="241"/>
    </row>
    <row r="71" customFormat="false" ht="12.75" hidden="false" customHeight="false" outlineLevel="0" collapsed="false">
      <c r="A71" s="128" t="s">
        <v>347</v>
      </c>
      <c r="B71" s="128" t="n">
        <f aca="false">+$B$4</f>
        <v>365.25</v>
      </c>
      <c r="C71" s="241"/>
    </row>
    <row r="72" customFormat="false" ht="12.75" hidden="false" customHeight="false" outlineLevel="0" collapsed="false">
      <c r="A72" s="128" t="s">
        <v>339</v>
      </c>
      <c r="B72" s="128" t="n">
        <v>16</v>
      </c>
      <c r="C72" s="241"/>
    </row>
    <row r="73" customFormat="false" ht="12.75" hidden="false" customHeight="false" outlineLevel="0" collapsed="false">
      <c r="A73" s="128" t="s">
        <v>342</v>
      </c>
      <c r="B73" s="225" t="n">
        <v>0.5</v>
      </c>
      <c r="C73" s="241"/>
    </row>
    <row r="74" customFormat="false" ht="12.75" hidden="false" customHeight="false" outlineLevel="0" collapsed="false">
      <c r="A74" s="128" t="s">
        <v>348</v>
      </c>
      <c r="B74" s="301" t="n">
        <f aca="false">ROUND(((B71/7)*6)-B72,2)</f>
        <v>297.07</v>
      </c>
      <c r="C74" s="241"/>
    </row>
    <row r="75" customFormat="false" ht="12.75" hidden="false" customHeight="false" outlineLevel="0" collapsed="false">
      <c r="A75" s="128" t="s">
        <v>349</v>
      </c>
      <c r="B75" s="110" t="n">
        <v>12</v>
      </c>
      <c r="C75" s="241"/>
    </row>
    <row r="76" customFormat="false" ht="25.5" hidden="false" customHeight="false" outlineLevel="0" collapsed="false">
      <c r="A76" s="261" t="s">
        <v>350</v>
      </c>
      <c r="B76" s="128" t="n">
        <f aca="false">+((B70/B75)*B73)/B74</f>
        <v>0.0269296798734305</v>
      </c>
      <c r="C76" s="241"/>
    </row>
    <row r="77" customFormat="false" ht="12.75" hidden="false" customHeight="false" outlineLevel="0" collapsed="false">
      <c r="A77" s="253" t="s">
        <v>351</v>
      </c>
      <c r="B77" s="253"/>
      <c r="C77" s="288" t="n">
        <f aca="false">+C69/B70*(B71-B74)*B76</f>
        <v>0</v>
      </c>
    </row>
    <row r="79" customFormat="false" ht="12.75" hidden="false" customHeight="false" outlineLevel="0" collapsed="false">
      <c r="A79" s="285" t="s">
        <v>366</v>
      </c>
      <c r="B79" s="285"/>
      <c r="C79" s="285"/>
    </row>
    <row r="80" customFormat="false" ht="12.75" hidden="false" customHeight="false" outlineLevel="0" collapsed="false">
      <c r="A80" s="128" t="s">
        <v>347</v>
      </c>
      <c r="B80" s="128" t="n">
        <f aca="false">+$B$4</f>
        <v>365.25</v>
      </c>
      <c r="C80" s="260"/>
    </row>
    <row r="81" customFormat="false" ht="12.75" hidden="false" customHeight="false" outlineLevel="0" collapsed="false">
      <c r="A81" s="128" t="s">
        <v>349</v>
      </c>
      <c r="B81" s="110" t="n">
        <v>12</v>
      </c>
      <c r="C81" s="260"/>
    </row>
    <row r="82" customFormat="false" ht="12.75" hidden="false" customHeight="false" outlineLevel="0" collapsed="false">
      <c r="A82" s="128" t="s">
        <v>358</v>
      </c>
      <c r="B82" s="225" t="n">
        <v>0.5</v>
      </c>
      <c r="C82" s="260"/>
      <c r="D82" s="314"/>
    </row>
    <row r="83" customFormat="false" ht="12.75" hidden="false" customHeight="false" outlineLevel="0" collapsed="false">
      <c r="A83" s="308" t="s">
        <v>359</v>
      </c>
      <c r="B83" s="110" t="n">
        <v>7</v>
      </c>
      <c r="C83" s="260"/>
      <c r="D83" s="314"/>
    </row>
    <row r="84" customFormat="false" ht="12.75" hidden="false" customHeight="false" outlineLevel="0" collapsed="false">
      <c r="A84" s="110" t="s">
        <v>367</v>
      </c>
      <c r="B84" s="295" t="n">
        <f aca="false">(365.25/12/2)/(7/7)</f>
        <v>15.21875</v>
      </c>
      <c r="C84" s="128"/>
      <c r="D84" s="314"/>
    </row>
    <row r="85" customFormat="false" ht="12.75" hidden="false" customHeight="false" outlineLevel="0" collapsed="false">
      <c r="A85" s="110" t="s">
        <v>368</v>
      </c>
      <c r="B85" s="128" t="n">
        <f aca="false">ROUND(+B84*B83,2)</f>
        <v>106.53</v>
      </c>
      <c r="C85" s="128"/>
    </row>
    <row r="86" customFormat="false" ht="12.75" hidden="false" customHeight="false" outlineLevel="0" collapsed="false">
      <c r="A86" s="110" t="s">
        <v>360</v>
      </c>
      <c r="B86" s="260"/>
      <c r="C86" s="129" t="n">
        <f aca="false">+'Vigilante 12x36 Noturno Des'!$D$12</f>
        <v>0</v>
      </c>
    </row>
    <row r="87" customFormat="false" ht="12.75" hidden="false" customHeight="false" outlineLevel="0" collapsed="false">
      <c r="A87" s="110" t="s">
        <v>201</v>
      </c>
      <c r="B87" s="260"/>
      <c r="C87" s="129" t="n">
        <f aca="false">+'Vigilante 12x36 Noturno Des'!$D$13</f>
        <v>0</v>
      </c>
    </row>
    <row r="88" customFormat="false" ht="12.75" hidden="false" customHeight="false" outlineLevel="0" collapsed="false">
      <c r="A88" s="110" t="s">
        <v>202</v>
      </c>
      <c r="B88" s="260"/>
      <c r="C88" s="129" t="n">
        <f aca="false">+'Vigilante 12x36 Noturno Des'!$D$14</f>
        <v>0</v>
      </c>
    </row>
    <row r="89" customFormat="false" ht="12.75" hidden="false" customHeight="false" outlineLevel="0" collapsed="false">
      <c r="A89" s="309" t="s">
        <v>337</v>
      </c>
      <c r="B89" s="260"/>
      <c r="C89" s="310" t="n">
        <f aca="false">SUM(C86:C88)</f>
        <v>0</v>
      </c>
      <c r="D89" s="103"/>
    </row>
    <row r="90" customFormat="false" ht="12.75" hidden="false" customHeight="false" outlineLevel="0" collapsed="false">
      <c r="A90" s="128" t="s">
        <v>332</v>
      </c>
      <c r="B90" s="311" t="n">
        <f aca="false">+B3</f>
        <v>220</v>
      </c>
      <c r="C90" s="260"/>
    </row>
    <row r="91" customFormat="false" ht="12.75" hidden="false" customHeight="false" outlineLevel="0" collapsed="false">
      <c r="A91" s="110" t="s">
        <v>361</v>
      </c>
      <c r="B91" s="225" t="n">
        <v>0.2</v>
      </c>
      <c r="C91" s="260"/>
    </row>
    <row r="92" customFormat="false" ht="12.75" hidden="false" customHeight="false" outlineLevel="0" collapsed="false">
      <c r="A92" s="110" t="s">
        <v>362</v>
      </c>
      <c r="B92" s="260"/>
      <c r="C92" s="78" t="n">
        <f aca="false">ROUND((C89/B90)*B91,2)</f>
        <v>0</v>
      </c>
    </row>
    <row r="93" customFormat="false" ht="12.75" hidden="false" customHeight="false" outlineLevel="0" collapsed="false">
      <c r="A93" s="110" t="s">
        <v>369</v>
      </c>
      <c r="B93" s="128" t="n">
        <v>60</v>
      </c>
      <c r="C93" s="260"/>
    </row>
    <row r="94" customFormat="false" ht="12.75" hidden="false" customHeight="false" outlineLevel="0" collapsed="false">
      <c r="A94" s="110" t="s">
        <v>370</v>
      </c>
      <c r="B94" s="128" t="n">
        <v>52.5</v>
      </c>
      <c r="C94" s="260"/>
    </row>
    <row r="95" customFormat="false" ht="12.75" hidden="false" customHeight="false" outlineLevel="0" collapsed="false">
      <c r="A95" s="110" t="s">
        <v>371</v>
      </c>
      <c r="B95" s="128" t="n">
        <f aca="false">+B93/B94</f>
        <v>1.14285714285714</v>
      </c>
      <c r="C95" s="260"/>
    </row>
    <row r="96" customFormat="false" ht="12.75" hidden="false" customHeight="false" outlineLevel="0" collapsed="false">
      <c r="A96" s="110" t="s">
        <v>372</v>
      </c>
      <c r="B96" s="128" t="n">
        <f aca="false">ROUND(+B95*B85,2)</f>
        <v>121.75</v>
      </c>
      <c r="C96" s="260"/>
    </row>
    <row r="97" customFormat="false" ht="12.75" hidden="false" customHeight="false" outlineLevel="0" collapsed="false">
      <c r="A97" s="110" t="s">
        <v>373</v>
      </c>
      <c r="B97" s="128" t="n">
        <f aca="false">ROUND(B96-B85,2)</f>
        <v>15.22</v>
      </c>
      <c r="C97" s="312"/>
    </row>
    <row r="98" customFormat="false" ht="12.75" hidden="false" customHeight="false" outlineLevel="0" collapsed="false">
      <c r="A98" s="268" t="s">
        <v>374</v>
      </c>
      <c r="B98" s="268"/>
      <c r="C98" s="272" t="n">
        <f aca="false">+B97*C92</f>
        <v>0</v>
      </c>
    </row>
    <row r="100" customFormat="false" ht="12.75" hidden="false" customHeight="false" outlineLevel="0" collapsed="false">
      <c r="A100" s="285" t="s">
        <v>375</v>
      </c>
      <c r="B100" s="285"/>
      <c r="C100" s="285"/>
    </row>
    <row r="101" customFormat="false" ht="12.75" hidden="false" customHeight="false" outlineLevel="0" collapsed="false">
      <c r="A101" s="128" t="s">
        <v>347</v>
      </c>
      <c r="B101" s="128" t="n">
        <f aca="false">+$B$4</f>
        <v>365.25</v>
      </c>
      <c r="C101" s="260"/>
    </row>
    <row r="102" customFormat="false" ht="12.75" hidden="false" customHeight="false" outlineLevel="0" collapsed="false">
      <c r="A102" s="128" t="s">
        <v>349</v>
      </c>
      <c r="B102" s="110" t="n">
        <v>12</v>
      </c>
      <c r="C102" s="260"/>
    </row>
    <row r="103" customFormat="false" ht="12.75" hidden="false" customHeight="false" outlineLevel="0" collapsed="false">
      <c r="A103" s="128" t="s">
        <v>358</v>
      </c>
      <c r="B103" s="225" t="n">
        <v>0.5</v>
      </c>
      <c r="C103" s="260"/>
    </row>
    <row r="104" customFormat="false" ht="12.75" hidden="false" customHeight="false" outlineLevel="0" collapsed="false">
      <c r="A104" s="110" t="s">
        <v>376</v>
      </c>
      <c r="B104" s="128" t="n">
        <f aca="false">ROUND((B101/B102)*B103,2)</f>
        <v>15.22</v>
      </c>
      <c r="C104" s="260"/>
    </row>
    <row r="105" customFormat="false" ht="12.75" hidden="false" customHeight="false" outlineLevel="0" collapsed="false">
      <c r="A105" s="315" t="s">
        <v>377</v>
      </c>
      <c r="B105" s="316"/>
      <c r="C105" s="260"/>
    </row>
    <row r="106" customFormat="false" ht="12.75" hidden="false" customHeight="false" outlineLevel="0" collapsed="false">
      <c r="A106" s="110" t="s">
        <v>378</v>
      </c>
      <c r="B106" s="225" t="n">
        <v>0.06</v>
      </c>
      <c r="C106" s="260"/>
    </row>
    <row r="107" customFormat="false" ht="12.75" hidden="false" customHeight="false" outlineLevel="0" collapsed="false">
      <c r="A107" s="268" t="s">
        <v>379</v>
      </c>
      <c r="B107" s="268"/>
      <c r="C107" s="288" t="n">
        <f aca="false">ROUND((B104*(B105*2)-($B$6*B106)),2)</f>
        <v>0</v>
      </c>
    </row>
    <row r="109" customFormat="false" ht="12.75" hidden="false" customHeight="false" outlineLevel="0" collapsed="false">
      <c r="A109" s="285" t="s">
        <v>380</v>
      </c>
      <c r="B109" s="285"/>
      <c r="C109" s="285"/>
    </row>
    <row r="110" customFormat="false" ht="12.75" hidden="false" customHeight="false" outlineLevel="0" collapsed="false">
      <c r="A110" s="128" t="s">
        <v>347</v>
      </c>
      <c r="B110" s="128" t="n">
        <f aca="false">+$B$4</f>
        <v>365.25</v>
      </c>
      <c r="C110" s="260"/>
    </row>
    <row r="111" customFormat="false" ht="12.75" hidden="false" customHeight="false" outlineLevel="0" collapsed="false">
      <c r="A111" s="128" t="s">
        <v>349</v>
      </c>
      <c r="B111" s="110" t="n">
        <v>12</v>
      </c>
      <c r="C111" s="260"/>
    </row>
    <row r="112" customFormat="false" ht="12.75" hidden="false" customHeight="false" outlineLevel="0" collapsed="false">
      <c r="A112" s="128" t="s">
        <v>358</v>
      </c>
      <c r="B112" s="225" t="n">
        <v>0.5</v>
      </c>
      <c r="C112" s="260"/>
    </row>
    <row r="113" customFormat="false" ht="12.75" hidden="false" customHeight="false" outlineLevel="0" collapsed="false">
      <c r="A113" s="110" t="s">
        <v>376</v>
      </c>
      <c r="B113" s="128" t="n">
        <f aca="false">ROUND((B110/B111)*B112,2)</f>
        <v>15.22</v>
      </c>
      <c r="C113" s="260"/>
    </row>
    <row r="114" customFormat="false" ht="12.75" hidden="false" customHeight="false" outlineLevel="0" collapsed="false">
      <c r="A114" s="315" t="s">
        <v>381</v>
      </c>
      <c r="B114" s="316"/>
      <c r="C114" s="260"/>
    </row>
    <row r="115" customFormat="false" ht="12.75" hidden="false" customHeight="false" outlineLevel="0" collapsed="false">
      <c r="A115" s="110" t="s">
        <v>382</v>
      </c>
      <c r="B115" s="225" t="n">
        <v>0.2</v>
      </c>
      <c r="C115" s="260"/>
    </row>
    <row r="116" customFormat="false" ht="12.75" hidden="false" customHeight="false" outlineLevel="0" collapsed="false">
      <c r="A116" s="268" t="s">
        <v>381</v>
      </c>
      <c r="B116" s="268"/>
      <c r="C116" s="288" t="n">
        <f aca="false">ROUND((B113*(B114)-((B113*B114)*B115)),2)</f>
        <v>0</v>
      </c>
    </row>
    <row r="118" customFormat="false" ht="12.75" hidden="false" customHeight="false" outlineLevel="0" collapsed="false">
      <c r="A118" s="285" t="s">
        <v>383</v>
      </c>
      <c r="B118" s="285"/>
      <c r="C118" s="285"/>
    </row>
    <row r="119" customFormat="false" ht="12.75" hidden="false" customHeight="false" outlineLevel="0" collapsed="false">
      <c r="A119" s="128" t="s">
        <v>384</v>
      </c>
      <c r="B119" s="129" t="n">
        <f aca="false">+B7</f>
        <v>0</v>
      </c>
      <c r="C119" s="260"/>
    </row>
    <row r="120" customFormat="false" ht="12.75" hidden="false" customHeight="false" outlineLevel="0" collapsed="false">
      <c r="A120" s="128" t="s">
        <v>385</v>
      </c>
      <c r="B120" s="128" t="n">
        <v>12</v>
      </c>
      <c r="C120" s="260"/>
    </row>
    <row r="121" customFormat="false" ht="12.75" hidden="false" customHeight="false" outlineLevel="0" collapsed="false">
      <c r="A121" s="246" t="s">
        <v>386</v>
      </c>
      <c r="B121" s="274"/>
      <c r="C121" s="260"/>
    </row>
    <row r="122" customFormat="false" ht="12.75" hidden="false" customHeight="false" outlineLevel="0" collapsed="false">
      <c r="A122" s="268" t="s">
        <v>387</v>
      </c>
      <c r="B122" s="268"/>
      <c r="C122" s="288" t="n">
        <f aca="false">ROUND(+(B119/B120)*B121,2)</f>
        <v>0</v>
      </c>
    </row>
    <row r="124" customFormat="false" ht="12.75" hidden="false" customHeight="true" outlineLevel="0" collapsed="false">
      <c r="A124" s="317" t="s">
        <v>388</v>
      </c>
      <c r="B124" s="317"/>
      <c r="C124" s="317"/>
    </row>
    <row r="125" s="34" customFormat="true" ht="12.75" hidden="false" customHeight="false" outlineLevel="0" collapsed="false">
      <c r="A125" s="318" t="s">
        <v>389</v>
      </c>
      <c r="B125" s="274" t="n">
        <f aca="false">+B121</f>
        <v>0</v>
      </c>
      <c r="C125" s="260"/>
    </row>
    <row r="126" customFormat="false" ht="12.75" hidden="false" customHeight="false" outlineLevel="0" collapsed="false">
      <c r="A126" s="128" t="s">
        <v>390</v>
      </c>
      <c r="B126" s="129" t="n">
        <f aca="false">+'Vigilante 12x36 Noturno Des'!$D$23</f>
        <v>0</v>
      </c>
      <c r="C126" s="260"/>
    </row>
    <row r="127" customFormat="false" ht="12.75" hidden="false" customHeight="false" outlineLevel="0" collapsed="false">
      <c r="A127" s="128" t="s">
        <v>223</v>
      </c>
      <c r="B127" s="129" t="n">
        <f aca="false">+'Vigilante 12x36 Noturno Des'!$D$29</f>
        <v>0</v>
      </c>
      <c r="C127" s="260"/>
    </row>
    <row r="128" customFormat="false" ht="12.75" hidden="false" customHeight="false" outlineLevel="0" collapsed="false">
      <c r="A128" s="319" t="s">
        <v>226</v>
      </c>
      <c r="B128" s="129" t="n">
        <f aca="false">+'Vigilante 12x36 Noturno Des'!$D$31</f>
        <v>0</v>
      </c>
      <c r="C128" s="260"/>
    </row>
    <row r="129" customFormat="false" ht="12.75" hidden="false" customHeight="false" outlineLevel="0" collapsed="false">
      <c r="A129" s="319" t="s">
        <v>228</v>
      </c>
      <c r="B129" s="129" t="n">
        <f aca="false">+'Vigilante 12x36 Noturno Des'!$D$32</f>
        <v>0</v>
      </c>
      <c r="C129" s="260"/>
    </row>
    <row r="130" customFormat="false" ht="12.75" hidden="false" customHeight="false" outlineLevel="0" collapsed="false">
      <c r="A130" s="309" t="s">
        <v>391</v>
      </c>
      <c r="B130" s="310" t="n">
        <f aca="false">SUM(B126:B129)</f>
        <v>0</v>
      </c>
      <c r="C130" s="260"/>
    </row>
    <row r="131" customFormat="false" ht="12.75" hidden="false" customHeight="false" outlineLevel="0" collapsed="false">
      <c r="A131" s="76" t="s">
        <v>392</v>
      </c>
      <c r="B131" s="225" t="n">
        <v>0.4</v>
      </c>
      <c r="C131" s="260"/>
    </row>
    <row r="132" customFormat="false" ht="12.75" hidden="false" customHeight="false" outlineLevel="0" collapsed="false">
      <c r="A132" s="76" t="s">
        <v>393</v>
      </c>
      <c r="B132" s="225" t="n">
        <f aca="false">+'Vigilante 12x36 Noturno Des'!$C$44</f>
        <v>0.08</v>
      </c>
      <c r="C132" s="260"/>
    </row>
    <row r="133" customFormat="false" ht="12.75" hidden="false" customHeight="false" outlineLevel="0" collapsed="false">
      <c r="A133" s="270" t="s">
        <v>394</v>
      </c>
      <c r="B133" s="270"/>
      <c r="C133" s="271" t="n">
        <f aca="false">ROUND(+B130*B131*B132*B125,2)</f>
        <v>0</v>
      </c>
    </row>
    <row r="134" customFormat="false" ht="12.75" hidden="false" customHeight="false" outlineLevel="0" collapsed="false">
      <c r="A134" s="76" t="s">
        <v>395</v>
      </c>
      <c r="B134" s="225" t="n">
        <v>0.1</v>
      </c>
      <c r="C134" s="260"/>
    </row>
    <row r="135" customFormat="false" ht="12.75" hidden="false" customHeight="false" outlineLevel="0" collapsed="false">
      <c r="A135" s="270" t="s">
        <v>396</v>
      </c>
      <c r="B135" s="270"/>
      <c r="C135" s="320" t="n">
        <f aca="false">ROUND(B134*B132*B130*B125,2)</f>
        <v>0</v>
      </c>
    </row>
    <row r="136" customFormat="false" ht="12.75" hidden="false" customHeight="false" outlineLevel="0" collapsed="false">
      <c r="A136" s="268" t="s">
        <v>397</v>
      </c>
      <c r="B136" s="268"/>
      <c r="C136" s="272" t="n">
        <f aca="false">+C135+C133</f>
        <v>0</v>
      </c>
    </row>
    <row r="138" customFormat="false" ht="12.75" hidden="false" customHeight="false" outlineLevel="0" collapsed="false">
      <c r="A138" s="285" t="s">
        <v>398</v>
      </c>
      <c r="B138" s="285"/>
      <c r="C138" s="285"/>
    </row>
    <row r="139" customFormat="false" ht="12.75" hidden="false" customHeight="false" outlineLevel="0" collapsed="false">
      <c r="A139" s="128" t="s">
        <v>384</v>
      </c>
      <c r="B139" s="129" t="n">
        <f aca="false">+B7</f>
        <v>0</v>
      </c>
      <c r="C139" s="260"/>
    </row>
    <row r="140" customFormat="false" ht="12.75" hidden="false" customHeight="false" outlineLevel="0" collapsed="false">
      <c r="A140" s="128" t="s">
        <v>399</v>
      </c>
      <c r="B140" s="321" t="n">
        <v>30</v>
      </c>
      <c r="C140" s="260"/>
    </row>
    <row r="141" customFormat="false" ht="12.75" hidden="false" customHeight="false" outlineLevel="0" collapsed="false">
      <c r="A141" s="128" t="s">
        <v>385</v>
      </c>
      <c r="B141" s="128" t="n">
        <v>12</v>
      </c>
      <c r="C141" s="260"/>
    </row>
    <row r="142" customFormat="false" ht="12.75" hidden="false" customHeight="false" outlineLevel="0" collapsed="false">
      <c r="A142" s="128" t="s">
        <v>400</v>
      </c>
      <c r="B142" s="128" t="n">
        <v>7</v>
      </c>
      <c r="C142" s="260"/>
    </row>
    <row r="143" customFormat="false" ht="12.75" hidden="false" customHeight="false" outlineLevel="0" collapsed="false">
      <c r="A143" s="246" t="s">
        <v>401</v>
      </c>
      <c r="B143" s="274"/>
      <c r="C143" s="260"/>
    </row>
    <row r="144" customFormat="false" ht="12.75" hidden="false" customHeight="false" outlineLevel="0" collapsed="false">
      <c r="A144" s="268" t="s">
        <v>402</v>
      </c>
      <c r="B144" s="268"/>
      <c r="C144" s="288" t="n">
        <f aca="false">+ROUND(((B139/B140/B141)*B142)*B143,2)</f>
        <v>0</v>
      </c>
    </row>
    <row r="146" customFormat="false" ht="12.75" hidden="false" customHeight="true" outlineLevel="0" collapsed="false">
      <c r="A146" s="317" t="s">
        <v>403</v>
      </c>
      <c r="B146" s="317"/>
      <c r="C146" s="317"/>
    </row>
    <row r="147" customFormat="false" ht="12.75" hidden="false" customHeight="false" outlineLevel="0" collapsed="false">
      <c r="A147" s="318" t="s">
        <v>404</v>
      </c>
      <c r="B147" s="274" t="n">
        <f aca="false">+B143</f>
        <v>0</v>
      </c>
      <c r="C147" s="260"/>
    </row>
    <row r="148" customFormat="false" ht="12.75" hidden="false" customHeight="false" outlineLevel="0" collapsed="false">
      <c r="A148" s="128" t="s">
        <v>390</v>
      </c>
      <c r="B148" s="129" t="n">
        <f aca="false">+'Vigilante 12x36 Noturno Des'!$D$23</f>
        <v>0</v>
      </c>
      <c r="C148" s="260"/>
    </row>
    <row r="149" customFormat="false" ht="12.75" hidden="false" customHeight="false" outlineLevel="0" collapsed="false">
      <c r="A149" s="128" t="s">
        <v>223</v>
      </c>
      <c r="B149" s="129" t="n">
        <f aca="false">+'Vigilante 12x36 Noturno Des'!$D$29</f>
        <v>0</v>
      </c>
      <c r="C149" s="260"/>
    </row>
    <row r="150" customFormat="false" ht="12.75" hidden="false" customHeight="false" outlineLevel="0" collapsed="false">
      <c r="A150" s="319" t="s">
        <v>226</v>
      </c>
      <c r="B150" s="129" t="n">
        <f aca="false">+'Vigilante 12x36 Noturno Des'!$D$31</f>
        <v>0</v>
      </c>
      <c r="C150" s="260"/>
    </row>
    <row r="151" customFormat="false" ht="12.75" hidden="false" customHeight="false" outlineLevel="0" collapsed="false">
      <c r="A151" s="319" t="s">
        <v>228</v>
      </c>
      <c r="B151" s="129" t="n">
        <f aca="false">+'Vigilante 12x36 Noturno Des'!$D$32</f>
        <v>0</v>
      </c>
      <c r="C151" s="260"/>
    </row>
    <row r="152" customFormat="false" ht="12.75" hidden="false" customHeight="false" outlineLevel="0" collapsed="false">
      <c r="A152" s="309" t="s">
        <v>391</v>
      </c>
      <c r="B152" s="310" t="n">
        <f aca="false">SUM(B148:B151)</f>
        <v>0</v>
      </c>
      <c r="C152" s="260"/>
    </row>
    <row r="153" customFormat="false" ht="12.75" hidden="false" customHeight="false" outlineLevel="0" collapsed="false">
      <c r="A153" s="76" t="s">
        <v>392</v>
      </c>
      <c r="B153" s="225" t="n">
        <v>0.4</v>
      </c>
      <c r="C153" s="260"/>
    </row>
    <row r="154" customFormat="false" ht="12.75" hidden="false" customHeight="false" outlineLevel="0" collapsed="false">
      <c r="A154" s="76" t="s">
        <v>393</v>
      </c>
      <c r="B154" s="225" t="n">
        <f aca="false">+'Vigilante 12x36 Noturno Des'!$C$44</f>
        <v>0.08</v>
      </c>
      <c r="C154" s="260"/>
    </row>
    <row r="155" customFormat="false" ht="12.75" hidden="false" customHeight="false" outlineLevel="0" collapsed="false">
      <c r="A155" s="270" t="s">
        <v>394</v>
      </c>
      <c r="B155" s="270"/>
      <c r="C155" s="271" t="n">
        <f aca="false">ROUND(+B152*B153*B154*B147,2)</f>
        <v>0</v>
      </c>
    </row>
    <row r="156" customFormat="false" ht="12.75" hidden="false" customHeight="false" outlineLevel="0" collapsed="false">
      <c r="A156" s="76" t="s">
        <v>395</v>
      </c>
      <c r="B156" s="225" t="n">
        <v>0.1</v>
      </c>
      <c r="C156" s="260"/>
    </row>
    <row r="157" customFormat="false" ht="12.75" hidden="false" customHeight="false" outlineLevel="0" collapsed="false">
      <c r="A157" s="270" t="s">
        <v>396</v>
      </c>
      <c r="B157" s="270"/>
      <c r="C157" s="320" t="n">
        <f aca="false">ROUND(B156*B154*B152*B147,2)</f>
        <v>0</v>
      </c>
    </row>
    <row r="158" customFormat="false" ht="12.75" hidden="false" customHeight="false" outlineLevel="0" collapsed="false">
      <c r="A158" s="268" t="s">
        <v>405</v>
      </c>
      <c r="B158" s="268"/>
      <c r="C158" s="272" t="n">
        <f aca="false">+C157+C155</f>
        <v>0</v>
      </c>
    </row>
    <row r="160" customFormat="false" ht="12.75" hidden="false" customHeight="true" outlineLevel="0" collapsed="false">
      <c r="A160" s="317" t="s">
        <v>406</v>
      </c>
      <c r="B160" s="317"/>
      <c r="C160" s="317"/>
    </row>
    <row r="161" customFormat="false" ht="12.75" hidden="false" customHeight="true" outlineLevel="0" collapsed="false">
      <c r="A161" s="322" t="s">
        <v>407</v>
      </c>
      <c r="B161" s="322"/>
      <c r="C161" s="322"/>
    </row>
    <row r="162" customFormat="false" ht="12.75" hidden="false" customHeight="false" outlineLevel="0" collapsed="false">
      <c r="A162" s="322"/>
      <c r="B162" s="322"/>
      <c r="C162" s="322"/>
    </row>
    <row r="163" customFormat="false" ht="12.75" hidden="false" customHeight="false" outlineLevel="0" collapsed="false">
      <c r="A163" s="322"/>
      <c r="B163" s="322"/>
      <c r="C163" s="322"/>
    </row>
    <row r="164" customFormat="false" ht="12.75" hidden="false" customHeight="false" outlineLevel="0" collapsed="false">
      <c r="A164" s="322"/>
      <c r="B164" s="322"/>
      <c r="C164" s="322"/>
    </row>
    <row r="165" customFormat="false" ht="12.75" hidden="false" customHeight="false" outlineLevel="0" collapsed="false">
      <c r="A165" s="323"/>
      <c r="B165" s="323"/>
      <c r="C165" s="323"/>
    </row>
    <row r="166" customFormat="false" ht="12.75" hidden="false" customHeight="true" outlineLevel="0" collapsed="false">
      <c r="A166" s="317" t="s">
        <v>408</v>
      </c>
      <c r="B166" s="317"/>
      <c r="C166" s="317"/>
    </row>
    <row r="167" customFormat="false" ht="12.75" hidden="false" customHeight="false" outlineLevel="0" collapsed="false">
      <c r="A167" s="128" t="s">
        <v>409</v>
      </c>
      <c r="B167" s="129" t="n">
        <f aca="false">+$B$7</f>
        <v>0</v>
      </c>
      <c r="C167" s="260"/>
    </row>
    <row r="168" customFormat="false" ht="12.75" hidden="false" customHeight="false" outlineLevel="0" collapsed="false">
      <c r="A168" s="128" t="s">
        <v>349</v>
      </c>
      <c r="B168" s="128" t="n">
        <v>30</v>
      </c>
      <c r="C168" s="260"/>
    </row>
    <row r="169" customFormat="false" ht="12.75" hidden="false" customHeight="false" outlineLevel="0" collapsed="false">
      <c r="A169" s="128" t="s">
        <v>410</v>
      </c>
      <c r="B169" s="128" t="n">
        <v>12</v>
      </c>
      <c r="C169" s="260"/>
    </row>
    <row r="170" customFormat="false" ht="12.75" hidden="false" customHeight="false" outlineLevel="0" collapsed="false">
      <c r="A170" s="246" t="s">
        <v>411</v>
      </c>
      <c r="B170" s="246"/>
      <c r="C170" s="260"/>
    </row>
    <row r="171" customFormat="false" ht="12.75" hidden="false" customHeight="false" outlineLevel="0" collapsed="false">
      <c r="A171" s="268" t="s">
        <v>412</v>
      </c>
      <c r="B171" s="268"/>
      <c r="C171" s="253" t="n">
        <f aca="false">+ROUND((B167/B168/B169)*B170,2)</f>
        <v>0</v>
      </c>
    </row>
    <row r="173" customFormat="false" ht="12.75" hidden="false" customHeight="true" outlineLevel="0" collapsed="false">
      <c r="A173" s="317" t="s">
        <v>413</v>
      </c>
      <c r="B173" s="317"/>
      <c r="C173" s="317"/>
    </row>
    <row r="174" customFormat="false" ht="12.75" hidden="false" customHeight="false" outlineLevel="0" collapsed="false">
      <c r="A174" s="128" t="s">
        <v>409</v>
      </c>
      <c r="B174" s="129" t="n">
        <f aca="false">+$B$7</f>
        <v>0</v>
      </c>
      <c r="C174" s="260"/>
    </row>
    <row r="175" customFormat="false" ht="12.75" hidden="false" customHeight="false" outlineLevel="0" collapsed="false">
      <c r="A175" s="128" t="s">
        <v>349</v>
      </c>
      <c r="B175" s="128" t="n">
        <v>30</v>
      </c>
      <c r="C175" s="260"/>
    </row>
    <row r="176" customFormat="false" ht="12.75" hidden="false" customHeight="false" outlineLevel="0" collapsed="false">
      <c r="A176" s="128" t="s">
        <v>410</v>
      </c>
      <c r="B176" s="128" t="n">
        <v>12</v>
      </c>
      <c r="C176" s="260"/>
    </row>
    <row r="177" customFormat="false" ht="12.75" hidden="false" customHeight="false" outlineLevel="0" collapsed="false">
      <c r="A177" s="110" t="s">
        <v>414</v>
      </c>
      <c r="B177" s="128" t="n">
        <v>5</v>
      </c>
      <c r="C177" s="260"/>
    </row>
    <row r="178" customFormat="false" ht="12.75" hidden="false" customHeight="false" outlineLevel="0" collapsed="false">
      <c r="A178" s="246" t="s">
        <v>415</v>
      </c>
      <c r="B178" s="274"/>
      <c r="C178" s="260"/>
    </row>
    <row r="179" customFormat="false" ht="12.75" hidden="false" customHeight="false" outlineLevel="0" collapsed="false">
      <c r="A179" s="246" t="s">
        <v>416</v>
      </c>
      <c r="B179" s="274"/>
      <c r="C179" s="260"/>
    </row>
    <row r="180" customFormat="false" ht="12.75" hidden="false" customHeight="false" outlineLevel="0" collapsed="false">
      <c r="A180" s="268" t="s">
        <v>417</v>
      </c>
      <c r="B180" s="268"/>
      <c r="C180" s="288" t="n">
        <f aca="false">ROUND(+B174/B175/B176*B177*B178*B179,2)</f>
        <v>0</v>
      </c>
    </row>
    <row r="182" customFormat="false" ht="12.75" hidden="false" customHeight="true" outlineLevel="0" collapsed="false">
      <c r="A182" s="317" t="s">
        <v>418</v>
      </c>
      <c r="B182" s="317"/>
      <c r="C182" s="317"/>
    </row>
    <row r="183" customFormat="false" ht="12.75" hidden="false" customHeight="false" outlineLevel="0" collapsed="false">
      <c r="A183" s="128" t="s">
        <v>409</v>
      </c>
      <c r="B183" s="129" t="n">
        <f aca="false">+$B$7</f>
        <v>0</v>
      </c>
      <c r="C183" s="260"/>
    </row>
    <row r="184" customFormat="false" ht="12.75" hidden="false" customHeight="false" outlineLevel="0" collapsed="false">
      <c r="A184" s="128" t="s">
        <v>349</v>
      </c>
      <c r="B184" s="128" t="n">
        <v>30</v>
      </c>
      <c r="C184" s="260"/>
    </row>
    <row r="185" customFormat="false" ht="12.75" hidden="false" customHeight="false" outlineLevel="0" collapsed="false">
      <c r="A185" s="128" t="s">
        <v>410</v>
      </c>
      <c r="B185" s="128" t="n">
        <v>12</v>
      </c>
      <c r="C185" s="260"/>
    </row>
    <row r="186" customFormat="false" ht="12.75" hidden="false" customHeight="false" outlineLevel="0" collapsed="false">
      <c r="A186" s="110" t="s">
        <v>419</v>
      </c>
      <c r="B186" s="128" t="n">
        <v>15</v>
      </c>
      <c r="C186" s="260"/>
    </row>
    <row r="187" customFormat="false" ht="12.75" hidden="false" customHeight="false" outlineLevel="0" collapsed="false">
      <c r="A187" s="246" t="s">
        <v>420</v>
      </c>
      <c r="B187" s="274"/>
      <c r="C187" s="260"/>
    </row>
    <row r="188" customFormat="false" ht="12.75" hidden="false" customHeight="false" outlineLevel="0" collapsed="false">
      <c r="A188" s="268" t="s">
        <v>421</v>
      </c>
      <c r="B188" s="268"/>
      <c r="C188" s="288" t="n">
        <f aca="false">ROUND(+B183/B184/B185*B186*B187,2)</f>
        <v>0</v>
      </c>
    </row>
    <row r="190" customFormat="false" ht="12.75" hidden="false" customHeight="true" outlineLevel="0" collapsed="false">
      <c r="A190" s="317" t="s">
        <v>422</v>
      </c>
      <c r="B190" s="317"/>
      <c r="C190" s="317"/>
    </row>
    <row r="191" customFormat="false" ht="12.75" hidden="false" customHeight="false" outlineLevel="0" collapsed="false">
      <c r="A191" s="128" t="s">
        <v>409</v>
      </c>
      <c r="B191" s="129" t="n">
        <f aca="false">+$B$7</f>
        <v>0</v>
      </c>
      <c r="C191" s="260"/>
    </row>
    <row r="192" customFormat="false" ht="12.75" hidden="false" customHeight="false" outlineLevel="0" collapsed="false">
      <c r="A192" s="128" t="s">
        <v>349</v>
      </c>
      <c r="B192" s="128" t="n">
        <v>30</v>
      </c>
      <c r="C192" s="260"/>
    </row>
    <row r="193" customFormat="false" ht="12.75" hidden="false" customHeight="false" outlineLevel="0" collapsed="false">
      <c r="A193" s="128" t="s">
        <v>410</v>
      </c>
      <c r="B193" s="128" t="n">
        <v>12</v>
      </c>
      <c r="C193" s="260"/>
    </row>
    <row r="194" customFormat="false" ht="12.75" hidden="false" customHeight="false" outlineLevel="0" collapsed="false">
      <c r="A194" s="110" t="s">
        <v>419</v>
      </c>
      <c r="B194" s="128" t="n">
        <v>5</v>
      </c>
      <c r="C194" s="260"/>
    </row>
    <row r="195" customFormat="false" ht="12.75" hidden="false" customHeight="false" outlineLevel="0" collapsed="false">
      <c r="A195" s="246" t="s">
        <v>423</v>
      </c>
      <c r="B195" s="274"/>
      <c r="C195" s="260"/>
    </row>
    <row r="196" customFormat="false" ht="12.75" hidden="false" customHeight="false" outlineLevel="0" collapsed="false">
      <c r="A196" s="268" t="s">
        <v>424</v>
      </c>
      <c r="B196" s="268"/>
      <c r="C196" s="288" t="n">
        <f aca="false">ROUND(+B191/B192/B193*B194*B195,2)</f>
        <v>0</v>
      </c>
    </row>
    <row r="198" customFormat="false" ht="12.75" hidden="false" customHeight="false" outlineLevel="0" collapsed="false">
      <c r="A198" s="285" t="s">
        <v>425</v>
      </c>
      <c r="B198" s="285"/>
      <c r="C198" s="285"/>
    </row>
    <row r="199" customFormat="false" ht="12.75" hidden="false" customHeight="false" outlineLevel="0" collapsed="false">
      <c r="A199" s="324" t="s">
        <v>197</v>
      </c>
      <c r="B199" s="325"/>
      <c r="C199" s="129" t="n">
        <f aca="false">+'Vigilante 12x36 Noturno Des'!D23-'Vigilante 12x36 Noturno Des'!D21</f>
        <v>0</v>
      </c>
    </row>
    <row r="200" customFormat="false" ht="12.75" hidden="false" customHeight="false" outlineLevel="0" collapsed="false">
      <c r="A200" s="324" t="s">
        <v>256</v>
      </c>
      <c r="B200" s="325"/>
      <c r="C200" s="129" t="n">
        <f aca="false">+'Vigilante 12x36 Noturno Des'!D68</f>
        <v>0</v>
      </c>
    </row>
    <row r="201" customFormat="false" ht="12.75" hidden="false" customHeight="false" outlineLevel="0" collapsed="false">
      <c r="A201" s="324" t="s">
        <v>287</v>
      </c>
      <c r="B201" s="325"/>
      <c r="C201" s="129" t="n">
        <f aca="false">+'Vigilante 12x36 Noturno Des'!D116</f>
        <v>0</v>
      </c>
    </row>
    <row r="202" customFormat="false" ht="12.75" hidden="false" customHeight="false" outlineLevel="0" collapsed="false">
      <c r="A202" s="324" t="s">
        <v>268</v>
      </c>
      <c r="B202" s="325"/>
      <c r="C202" s="129" t="n">
        <f aca="false">+'Vigilante 12x36 Noturno Des'!D107</f>
        <v>0</v>
      </c>
    </row>
    <row r="203" customFormat="false" ht="12.75" hidden="false" customHeight="false" outlineLevel="0" collapsed="false">
      <c r="A203" s="324" t="s">
        <v>276</v>
      </c>
      <c r="B203" s="325"/>
      <c r="C203" s="129" t="n">
        <f aca="false">+'Vigilante 12x36 Noturno Des'!D108</f>
        <v>0</v>
      </c>
    </row>
    <row r="204" customFormat="false" ht="12.75" hidden="false" customHeight="false" outlineLevel="0" collapsed="false">
      <c r="A204" s="324" t="s">
        <v>258</v>
      </c>
      <c r="B204" s="325"/>
      <c r="C204" s="129" t="n">
        <f aca="false">+'Vigilante 12x36 Noturno Des'!D79</f>
        <v>0</v>
      </c>
    </row>
    <row r="205" customFormat="false" ht="12.75" hidden="false" customHeight="false" outlineLevel="0" collapsed="false">
      <c r="A205" s="324" t="s">
        <v>337</v>
      </c>
      <c r="B205" s="325"/>
      <c r="C205" s="129" t="n">
        <f aca="false">SUM(C199:C204)</f>
        <v>0</v>
      </c>
    </row>
    <row r="206" customFormat="false" ht="12.75" hidden="false" customHeight="false" outlineLevel="0" collapsed="false">
      <c r="A206" s="324" t="s">
        <v>332</v>
      </c>
      <c r="B206" s="326" t="n">
        <v>220</v>
      </c>
      <c r="C206" s="327"/>
    </row>
    <row r="207" customFormat="false" ht="12.75" hidden="false" customHeight="false" outlineLevel="0" collapsed="false">
      <c r="A207" s="324" t="s">
        <v>338</v>
      </c>
      <c r="B207" s="325"/>
      <c r="C207" s="129" t="n">
        <f aca="false">ROUND(C205/B206,2)</f>
        <v>0</v>
      </c>
    </row>
    <row r="208" customFormat="false" ht="12.75" hidden="false" customHeight="false" outlineLevel="0" collapsed="false">
      <c r="A208" s="128" t="s">
        <v>426</v>
      </c>
      <c r="B208" s="295" t="n">
        <f aca="false">(365.25/12/2)/(7/7)</f>
        <v>15.21875</v>
      </c>
      <c r="C208" s="304"/>
    </row>
    <row r="209" customFormat="false" ht="12.75" hidden="false" customHeight="false" outlineLevel="0" collapsed="false">
      <c r="A209" s="268" t="s">
        <v>356</v>
      </c>
      <c r="B209" s="268"/>
      <c r="C209" s="272" t="n">
        <f aca="false">ROUND(+B208*C207,2)</f>
        <v>0</v>
      </c>
    </row>
    <row r="211" customFormat="false" ht="12.75" hidden="false" customHeight="true" outlineLevel="0" collapsed="false">
      <c r="A211" s="317" t="s">
        <v>427</v>
      </c>
      <c r="B211" s="317"/>
      <c r="C211" s="317"/>
    </row>
    <row r="212" customFormat="false" ht="12.75" hidden="false" customHeight="true" outlineLevel="0" collapsed="false">
      <c r="A212" s="328" t="s">
        <v>428</v>
      </c>
      <c r="B212" s="328"/>
      <c r="C212" s="328"/>
    </row>
    <row r="213" customFormat="false" ht="12.75" hidden="false" customHeight="false" outlineLevel="0" collapsed="false">
      <c r="A213" s="128" t="s">
        <v>409</v>
      </c>
      <c r="B213" s="129" t="n">
        <f aca="false">+$B$7</f>
        <v>0</v>
      </c>
      <c r="C213" s="260"/>
    </row>
    <row r="214" customFormat="false" ht="12.75" hidden="false" customHeight="false" outlineLevel="0" collapsed="false">
      <c r="A214" s="128" t="s">
        <v>429</v>
      </c>
      <c r="B214" s="129" t="n">
        <f aca="false">+B213*(1/3)</f>
        <v>0</v>
      </c>
      <c r="C214" s="260"/>
    </row>
    <row r="215" customFormat="false" ht="12.75" hidden="false" customHeight="false" outlineLevel="0" collapsed="false">
      <c r="A215" s="309" t="s">
        <v>391</v>
      </c>
      <c r="B215" s="310" t="n">
        <f aca="false">SUM(B213:B214)</f>
        <v>0</v>
      </c>
      <c r="C215" s="260"/>
    </row>
    <row r="216" customFormat="false" ht="12.75" hidden="false" customHeight="false" outlineLevel="0" collapsed="false">
      <c r="A216" s="128" t="s">
        <v>430</v>
      </c>
      <c r="B216" s="128" t="n">
        <v>4</v>
      </c>
      <c r="C216" s="260"/>
    </row>
    <row r="217" customFormat="false" ht="12.75" hidden="false" customHeight="false" outlineLevel="0" collapsed="false">
      <c r="A217" s="128" t="s">
        <v>410</v>
      </c>
      <c r="B217" s="128" t="n">
        <v>12</v>
      </c>
      <c r="C217" s="260"/>
    </row>
    <row r="218" customFormat="false" ht="12.75" hidden="false" customHeight="false" outlineLevel="0" collapsed="false">
      <c r="A218" s="246" t="s">
        <v>431</v>
      </c>
      <c r="B218" s="274"/>
      <c r="C218" s="260"/>
    </row>
    <row r="219" customFormat="false" ht="12.75" hidden="false" customHeight="false" outlineLevel="0" collapsed="false">
      <c r="A219" s="246" t="s">
        <v>432</v>
      </c>
      <c r="B219" s="274"/>
      <c r="C219" s="260"/>
    </row>
    <row r="220" customFormat="false" ht="12.75" hidden="false" customHeight="false" outlineLevel="0" collapsed="false">
      <c r="A220" s="268" t="s">
        <v>433</v>
      </c>
      <c r="B220" s="268"/>
      <c r="C220" s="288" t="n">
        <f aca="false">ROUND((((+B215*(B216/B217)/B217)*B218)*B219),2)</f>
        <v>0</v>
      </c>
    </row>
    <row r="221" customFormat="false" ht="12.75" hidden="false" customHeight="false" outlineLevel="0" collapsed="false">
      <c r="A221" s="268" t="s">
        <v>434</v>
      </c>
      <c r="B221" s="268"/>
      <c r="C221" s="268"/>
    </row>
    <row r="222" customFormat="false" ht="12.75" hidden="false" customHeight="false" outlineLevel="0" collapsed="false">
      <c r="A222" s="128" t="s">
        <v>409</v>
      </c>
      <c r="B222" s="129" t="n">
        <f aca="false">+'Vigilante 12x36 Noturno Des'!D23</f>
        <v>0</v>
      </c>
      <c r="C222" s="260"/>
    </row>
    <row r="223" customFormat="false" ht="12.75" hidden="false" customHeight="false" outlineLevel="0" collapsed="false">
      <c r="A223" s="128" t="s">
        <v>223</v>
      </c>
      <c r="B223" s="129" t="n">
        <f aca="false">+'Vigilante 12x36 Noturno Des'!D29</f>
        <v>0</v>
      </c>
      <c r="C223" s="260"/>
    </row>
    <row r="224" customFormat="false" ht="12.75" hidden="false" customHeight="false" outlineLevel="0" collapsed="false">
      <c r="A224" s="309" t="s">
        <v>391</v>
      </c>
      <c r="B224" s="310" t="n">
        <f aca="false">SUM(B222:B223)</f>
        <v>0</v>
      </c>
      <c r="C224" s="260"/>
    </row>
    <row r="225" customFormat="false" ht="12.75" hidden="false" customHeight="false" outlineLevel="0" collapsed="false">
      <c r="A225" s="128" t="s">
        <v>430</v>
      </c>
      <c r="B225" s="128" t="n">
        <v>4</v>
      </c>
      <c r="C225" s="260"/>
    </row>
    <row r="226" customFormat="false" ht="12.75" hidden="false" customHeight="false" outlineLevel="0" collapsed="false">
      <c r="A226" s="128" t="s">
        <v>410</v>
      </c>
      <c r="B226" s="128" t="n">
        <v>12</v>
      </c>
      <c r="C226" s="260"/>
    </row>
    <row r="227" customFormat="false" ht="12.75" hidden="false" customHeight="false" outlineLevel="0" collapsed="false">
      <c r="A227" s="246" t="s">
        <v>431</v>
      </c>
      <c r="B227" s="274"/>
      <c r="C227" s="260"/>
    </row>
    <row r="228" customFormat="false" ht="12.75" hidden="false" customHeight="false" outlineLevel="0" collapsed="false">
      <c r="A228" s="246" t="s">
        <v>432</v>
      </c>
      <c r="B228" s="274"/>
      <c r="C228" s="260"/>
    </row>
    <row r="229" customFormat="false" ht="12.75" hidden="false" customHeight="false" outlineLevel="0" collapsed="false">
      <c r="A229" s="110" t="s">
        <v>435</v>
      </c>
      <c r="B229" s="225" t="n">
        <f aca="false">+'Vigilante 12x36 Noturno Des'!C45</f>
        <v>0.368</v>
      </c>
      <c r="C229" s="260"/>
    </row>
    <row r="230" customFormat="false" ht="12.75" hidden="false" customHeight="false" outlineLevel="0" collapsed="false">
      <c r="A230" s="268" t="s">
        <v>436</v>
      </c>
      <c r="B230" s="268"/>
      <c r="C230" s="272" t="n">
        <f aca="false">ROUND((((B224*(B225/B226)*B227)*B228)*B229),2)</f>
        <v>0</v>
      </c>
    </row>
  </sheetData>
  <mergeCells count="44">
    <mergeCell ref="A1:C1"/>
    <mergeCell ref="A9:C9"/>
    <mergeCell ref="A25:B25"/>
    <mergeCell ref="A27:C27"/>
    <mergeCell ref="A38:C38"/>
    <mergeCell ref="A51:B51"/>
    <mergeCell ref="A53:C53"/>
    <mergeCell ref="A66:B66"/>
    <mergeCell ref="A68:C68"/>
    <mergeCell ref="A79:C79"/>
    <mergeCell ref="A98:B98"/>
    <mergeCell ref="A100:C100"/>
    <mergeCell ref="A107:B107"/>
    <mergeCell ref="A109:C109"/>
    <mergeCell ref="A116:B116"/>
    <mergeCell ref="A118:C118"/>
    <mergeCell ref="A122:B122"/>
    <mergeCell ref="A124:C124"/>
    <mergeCell ref="A133:B133"/>
    <mergeCell ref="A135:B135"/>
    <mergeCell ref="A136:B136"/>
    <mergeCell ref="A138:C138"/>
    <mergeCell ref="A144:B144"/>
    <mergeCell ref="A146:C146"/>
    <mergeCell ref="A155:B155"/>
    <mergeCell ref="A157:B157"/>
    <mergeCell ref="A158:B158"/>
    <mergeCell ref="A160:C160"/>
    <mergeCell ref="A161:C164"/>
    <mergeCell ref="A166:C166"/>
    <mergeCell ref="A171:B171"/>
    <mergeCell ref="A173:C173"/>
    <mergeCell ref="A180:B180"/>
    <mergeCell ref="A182:C182"/>
    <mergeCell ref="A188:B188"/>
    <mergeCell ref="A190:C190"/>
    <mergeCell ref="A196:B196"/>
    <mergeCell ref="A198:C198"/>
    <mergeCell ref="A209:B209"/>
    <mergeCell ref="A211:C211"/>
    <mergeCell ref="A212:C212"/>
    <mergeCell ref="A220:B220"/>
    <mergeCell ref="A221:C221"/>
    <mergeCell ref="A230:B230"/>
  </mergeCells>
  <printOptions headings="false" gridLines="false" gridLinesSet="true" horizontalCentered="false" verticalCentered="false"/>
  <pageMargins left="1.14166666666667" right="0.157638888888889" top="0.7875" bottom="0.460416666666667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 filterMode="false">
    <tabColor rgb="FF262626"/>
    <pageSetUpPr fitToPage="false"/>
  </sheetPr>
  <dimension ref="A1:H15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43" activeCellId="0" sqref="A143"/>
    </sheetView>
  </sheetViews>
  <sheetFormatPr defaultRowHeight="12.75" zeroHeight="false" outlineLevelRow="0" outlineLevelCol="0"/>
  <cols>
    <col collapsed="false" customWidth="true" hidden="false" outlineLevel="0" max="1" min="1" style="371" width="31"/>
    <col collapsed="false" customWidth="true" hidden="false" outlineLevel="0" max="2" min="2" style="371" width="11.38"/>
    <col collapsed="false" customWidth="true" hidden="false" outlineLevel="0" max="3" min="3" style="371" width="11.75"/>
    <col collapsed="false" customWidth="true" hidden="false" outlineLevel="0" max="4" min="4" style="371" width="13.88"/>
    <col collapsed="false" customWidth="true" hidden="false" outlineLevel="0" max="5" min="5" style="371" width="13.13"/>
    <col collapsed="false" customWidth="true" hidden="false" outlineLevel="0" max="6" min="6" style="371" width="13.25"/>
    <col collapsed="false" customWidth="true" hidden="false" outlineLevel="0" max="7" min="7" style="371" width="15.13"/>
    <col collapsed="false" customWidth="true" hidden="false" outlineLevel="0" max="8" min="8" style="371" width="10.13"/>
    <col collapsed="false" customWidth="true" hidden="false" outlineLevel="0" max="1025" min="9" style="371" width="9"/>
  </cols>
  <sheetData>
    <row r="1" customFormat="false" ht="12.75" hidden="false" customHeight="false" outlineLevel="0" collapsed="false">
      <c r="A1" s="372" t="s">
        <v>462</v>
      </c>
      <c r="B1" s="372"/>
      <c r="C1" s="372"/>
      <c r="D1" s="372"/>
      <c r="E1" s="372"/>
      <c r="F1" s="372"/>
      <c r="G1" s="372"/>
      <c r="H1" s="373"/>
    </row>
    <row r="2" s="127" customFormat="true" ht="48" hidden="false" customHeight="false" outlineLevel="0" collapsed="false">
      <c r="A2" s="374" t="s">
        <v>463</v>
      </c>
      <c r="B2" s="374" t="s">
        <v>464</v>
      </c>
      <c r="C2" s="374" t="s">
        <v>465</v>
      </c>
      <c r="D2" s="374" t="s">
        <v>466</v>
      </c>
      <c r="E2" s="375" t="s">
        <v>467</v>
      </c>
      <c r="F2" s="376" t="s">
        <v>468</v>
      </c>
      <c r="G2" s="377"/>
    </row>
    <row r="3" customFormat="false" ht="12.75" hidden="false" customHeight="false" outlineLevel="0" collapsed="false">
      <c r="A3" s="378" t="s">
        <v>469</v>
      </c>
      <c r="B3" s="379" t="n">
        <v>6</v>
      </c>
      <c r="C3" s="379" t="n">
        <v>2</v>
      </c>
      <c r="D3" s="379" t="n">
        <f aca="false">+C3*2</f>
        <v>4</v>
      </c>
      <c r="E3" s="380"/>
      <c r="F3" s="381" t="n">
        <f aca="false">+(E3*D3)/12</f>
        <v>0</v>
      </c>
      <c r="G3" s="382"/>
    </row>
    <row r="4" customFormat="false" ht="12.75" hidden="false" customHeight="false" outlineLevel="0" collapsed="false">
      <c r="A4" s="378" t="s">
        <v>470</v>
      </c>
      <c r="B4" s="379" t="n">
        <v>6</v>
      </c>
      <c r="C4" s="379" t="n">
        <v>2</v>
      </c>
      <c r="D4" s="379" t="n">
        <f aca="false">+C4*2</f>
        <v>4</v>
      </c>
      <c r="E4" s="380"/>
      <c r="F4" s="381" t="n">
        <f aca="false">+(E4*D4)/12</f>
        <v>0</v>
      </c>
      <c r="G4" s="382"/>
    </row>
    <row r="5" customFormat="false" ht="12.75" hidden="false" customHeight="false" outlineLevel="0" collapsed="false">
      <c r="A5" s="378" t="s">
        <v>471</v>
      </c>
      <c r="B5" s="379" t="n">
        <v>6</v>
      </c>
      <c r="C5" s="379" t="n">
        <v>2</v>
      </c>
      <c r="D5" s="379" t="n">
        <f aca="false">+C5*2</f>
        <v>4</v>
      </c>
      <c r="E5" s="380"/>
      <c r="F5" s="381" t="n">
        <f aca="false">+(E5*D5)/12</f>
        <v>0</v>
      </c>
      <c r="G5" s="382"/>
    </row>
    <row r="6" customFormat="false" ht="12.75" hidden="false" customHeight="false" outlineLevel="0" collapsed="false">
      <c r="A6" s="378" t="s">
        <v>472</v>
      </c>
      <c r="B6" s="379" t="n">
        <v>12</v>
      </c>
      <c r="C6" s="379" t="n">
        <v>1</v>
      </c>
      <c r="D6" s="379" t="n">
        <v>2</v>
      </c>
      <c r="E6" s="380"/>
      <c r="F6" s="381" t="n">
        <f aca="false">+(E6*D6)/12</f>
        <v>0</v>
      </c>
      <c r="G6" s="382"/>
    </row>
    <row r="7" customFormat="false" ht="12.75" hidden="false" customHeight="false" outlineLevel="0" collapsed="false">
      <c r="A7" s="378" t="s">
        <v>473</v>
      </c>
      <c r="B7" s="379" t="n">
        <v>12</v>
      </c>
      <c r="C7" s="379"/>
      <c r="D7" s="379" t="n">
        <v>1</v>
      </c>
      <c r="E7" s="380"/>
      <c r="F7" s="381" t="n">
        <f aca="false">+(E7*D7)/12</f>
        <v>0</v>
      </c>
      <c r="G7" s="382"/>
    </row>
    <row r="8" customFormat="false" ht="12.75" hidden="false" customHeight="false" outlineLevel="0" collapsed="false">
      <c r="A8" s="378" t="s">
        <v>474</v>
      </c>
      <c r="B8" s="379" t="n">
        <v>12</v>
      </c>
      <c r="C8" s="379"/>
      <c r="D8" s="379" t="n">
        <v>1</v>
      </c>
      <c r="E8" s="380"/>
      <c r="F8" s="381" t="n">
        <f aca="false">+(E8*D8)/12</f>
        <v>0</v>
      </c>
      <c r="G8" s="382"/>
    </row>
    <row r="9" customFormat="false" ht="12.75" hidden="false" customHeight="false" outlineLevel="0" collapsed="false">
      <c r="A9" s="378" t="s">
        <v>475</v>
      </c>
      <c r="B9" s="379" t="n">
        <v>12</v>
      </c>
      <c r="C9" s="379"/>
      <c r="D9" s="379" t="n">
        <v>1</v>
      </c>
      <c r="E9" s="380"/>
      <c r="F9" s="381" t="n">
        <f aca="false">+(E9*D9)/12</f>
        <v>0</v>
      </c>
      <c r="G9" s="382"/>
    </row>
    <row r="10" customFormat="false" ht="12.75" hidden="false" customHeight="false" outlineLevel="0" collapsed="false">
      <c r="A10" s="378" t="s">
        <v>476</v>
      </c>
      <c r="B10" s="379" t="n">
        <v>12</v>
      </c>
      <c r="C10" s="379"/>
      <c r="D10" s="379" t="n">
        <v>1</v>
      </c>
      <c r="E10" s="380"/>
      <c r="F10" s="381" t="n">
        <f aca="false">+(E10*D10)/12</f>
        <v>0</v>
      </c>
      <c r="G10" s="382"/>
    </row>
    <row r="11" customFormat="false" ht="12.75" hidden="false" customHeight="false" outlineLevel="0" collapsed="false">
      <c r="A11" s="378" t="s">
        <v>477</v>
      </c>
      <c r="B11" s="379" t="n">
        <v>6</v>
      </c>
      <c r="C11" s="379" t="n">
        <v>1</v>
      </c>
      <c r="D11" s="379"/>
      <c r="E11" s="380"/>
      <c r="F11" s="381" t="n">
        <f aca="false">+(E11)/12</f>
        <v>0</v>
      </c>
      <c r="G11" s="382"/>
    </row>
    <row r="12" customFormat="false" ht="12.75" hidden="false" customHeight="false" outlineLevel="0" collapsed="false">
      <c r="A12" s="378"/>
      <c r="B12" s="379"/>
      <c r="C12" s="379"/>
      <c r="D12" s="379"/>
      <c r="E12" s="381"/>
      <c r="F12" s="381" t="n">
        <v>0</v>
      </c>
      <c r="G12" s="383" t="n">
        <f aca="false">ROUND(SUM(F3:F11),2)</f>
        <v>0</v>
      </c>
    </row>
    <row r="13" customFormat="false" ht="12.75" hidden="false" customHeight="false" outlineLevel="0" collapsed="false">
      <c r="A13" s="384"/>
      <c r="B13" s="385"/>
      <c r="C13" s="385"/>
      <c r="D13" s="385"/>
      <c r="E13" s="385"/>
      <c r="F13" s="382"/>
      <c r="G13" s="382"/>
      <c r="H13" s="386"/>
    </row>
    <row r="14" customFormat="false" ht="12.75" hidden="false" customHeight="false" outlineLevel="0" collapsed="false">
      <c r="A14" s="372" t="s">
        <v>478</v>
      </c>
      <c r="B14" s="372"/>
      <c r="C14" s="372"/>
      <c r="D14" s="372"/>
      <c r="E14" s="372"/>
      <c r="F14" s="387"/>
      <c r="G14" s="387"/>
      <c r="H14" s="373"/>
    </row>
    <row r="15" s="127" customFormat="true" ht="36" hidden="false" customHeight="false" outlineLevel="0" collapsed="false">
      <c r="A15" s="388" t="s">
        <v>463</v>
      </c>
      <c r="B15" s="388" t="s">
        <v>464</v>
      </c>
      <c r="C15" s="388" t="s">
        <v>479</v>
      </c>
      <c r="D15" s="389" t="s">
        <v>467</v>
      </c>
      <c r="E15" s="376" t="s">
        <v>468</v>
      </c>
      <c r="F15" s="377"/>
      <c r="G15" s="377"/>
      <c r="H15" s="377"/>
    </row>
    <row r="16" customFormat="false" ht="12.75" hidden="false" customHeight="false" outlineLevel="0" collapsed="false">
      <c r="A16" s="378" t="s">
        <v>480</v>
      </c>
      <c r="B16" s="379" t="n">
        <v>30</v>
      </c>
      <c r="C16" s="379" t="n">
        <v>0.25</v>
      </c>
      <c r="D16" s="380"/>
      <c r="E16" s="381" t="n">
        <f aca="false">+(D16/B16)*C16</f>
        <v>0</v>
      </c>
      <c r="F16" s="373"/>
      <c r="G16" s="373"/>
      <c r="H16" s="373"/>
    </row>
    <row r="17" customFormat="false" ht="12.75" hidden="false" customHeight="false" outlineLevel="0" collapsed="false">
      <c r="A17" s="378" t="s">
        <v>481</v>
      </c>
      <c r="B17" s="379" t="n">
        <v>30</v>
      </c>
      <c r="C17" s="379" t="n">
        <v>0.25</v>
      </c>
      <c r="D17" s="380"/>
      <c r="E17" s="381" t="n">
        <f aca="false">+(D17/B17)*C17</f>
        <v>0</v>
      </c>
      <c r="F17" s="373"/>
      <c r="G17" s="373"/>
      <c r="H17" s="373"/>
    </row>
    <row r="18" customFormat="false" ht="12.75" hidden="false" customHeight="false" outlineLevel="0" collapsed="false">
      <c r="A18" s="378" t="s">
        <v>482</v>
      </c>
      <c r="B18" s="379" t="n">
        <v>30</v>
      </c>
      <c r="C18" s="379" t="n">
        <v>1</v>
      </c>
      <c r="D18" s="380"/>
      <c r="E18" s="381" t="n">
        <f aca="false">+(D18/B18)*C18</f>
        <v>0</v>
      </c>
      <c r="F18" s="373"/>
      <c r="G18" s="373"/>
      <c r="H18" s="373"/>
    </row>
    <row r="19" customFormat="false" ht="12.75" hidden="false" customHeight="false" outlineLevel="0" collapsed="false">
      <c r="A19" s="378" t="s">
        <v>483</v>
      </c>
      <c r="B19" s="379" t="n">
        <v>30</v>
      </c>
      <c r="C19" s="379" t="n">
        <v>1</v>
      </c>
      <c r="D19" s="380"/>
      <c r="E19" s="381" t="n">
        <f aca="false">+(D19/B19)*C19</f>
        <v>0</v>
      </c>
      <c r="F19" s="373"/>
      <c r="G19" s="373"/>
      <c r="H19" s="373"/>
    </row>
    <row r="20" customFormat="false" ht="12.75" hidden="false" customHeight="false" outlineLevel="0" collapsed="false">
      <c r="A20" s="378" t="s">
        <v>484</v>
      </c>
      <c r="B20" s="379" t="n">
        <v>60</v>
      </c>
      <c r="C20" s="379" t="n">
        <v>0.25</v>
      </c>
      <c r="D20" s="380"/>
      <c r="E20" s="381" t="n">
        <f aca="false">+(D20/B20)*C20</f>
        <v>0</v>
      </c>
      <c r="F20" s="373"/>
      <c r="G20" s="373"/>
      <c r="H20" s="373"/>
    </row>
    <row r="21" customFormat="false" ht="12.75" hidden="false" customHeight="false" outlineLevel="0" collapsed="false">
      <c r="A21" s="378" t="s">
        <v>485</v>
      </c>
      <c r="B21" s="379" t="n">
        <v>120</v>
      </c>
      <c r="C21" s="379" t="n">
        <v>0.3</v>
      </c>
      <c r="D21" s="380"/>
      <c r="E21" s="381" t="n">
        <f aca="false">+(D21/B21)*C21</f>
        <v>0</v>
      </c>
      <c r="F21" s="373"/>
      <c r="G21" s="373"/>
      <c r="H21" s="373"/>
    </row>
    <row r="22" customFormat="false" ht="12.75" hidden="false" customHeight="false" outlineLevel="0" collapsed="false">
      <c r="A22" s="378" t="s">
        <v>486</v>
      </c>
      <c r="B22" s="379" t="n">
        <v>30</v>
      </c>
      <c r="C22" s="379" t="n">
        <v>0.3</v>
      </c>
      <c r="D22" s="380"/>
      <c r="E22" s="381" t="n">
        <f aca="false">+(D22/B22)*C22</f>
        <v>0</v>
      </c>
      <c r="F22" s="373"/>
      <c r="G22" s="373"/>
      <c r="H22" s="373"/>
    </row>
    <row r="23" customFormat="false" ht="12.75" hidden="false" customHeight="false" outlineLevel="0" collapsed="false">
      <c r="A23" s="378" t="s">
        <v>487</v>
      </c>
      <c r="B23" s="379" t="n">
        <v>30</v>
      </c>
      <c r="C23" s="379" t="n">
        <v>0.3</v>
      </c>
      <c r="D23" s="380"/>
      <c r="E23" s="381" t="n">
        <f aca="false">+(D23/B23)*C23</f>
        <v>0</v>
      </c>
      <c r="F23" s="373"/>
      <c r="G23" s="373"/>
      <c r="H23" s="373"/>
    </row>
    <row r="24" customFormat="false" ht="12.75" hidden="false" customHeight="false" outlineLevel="0" collapsed="false">
      <c r="A24" s="378" t="s">
        <v>488</v>
      </c>
      <c r="B24" s="379" t="n">
        <v>24</v>
      </c>
      <c r="C24" s="379" t="n">
        <v>0.3</v>
      </c>
      <c r="D24" s="380"/>
      <c r="E24" s="381" t="n">
        <f aca="false">+(D24/B24)*C24</f>
        <v>0</v>
      </c>
      <c r="F24" s="373"/>
      <c r="G24" s="373"/>
      <c r="H24" s="373"/>
    </row>
    <row r="25" customFormat="false" ht="12.75" hidden="false" customHeight="false" outlineLevel="0" collapsed="false">
      <c r="A25" s="378" t="s">
        <v>489</v>
      </c>
      <c r="B25" s="379" t="n">
        <v>60</v>
      </c>
      <c r="C25" s="379" t="n">
        <v>0.5</v>
      </c>
      <c r="D25" s="380"/>
      <c r="E25" s="381" t="n">
        <f aca="false">+(D25/B25)*C25</f>
        <v>0</v>
      </c>
      <c r="F25" s="373"/>
      <c r="G25" s="373"/>
      <c r="H25" s="373"/>
    </row>
    <row r="26" customFormat="false" ht="12.75" hidden="false" customHeight="false" outlineLevel="0" collapsed="false">
      <c r="A26" s="378" t="s">
        <v>490</v>
      </c>
      <c r="B26" s="379" t="n">
        <v>60</v>
      </c>
      <c r="C26" s="379" t="n">
        <v>1</v>
      </c>
      <c r="D26" s="380"/>
      <c r="E26" s="381" t="n">
        <f aca="false">+(D26/B26)*C26</f>
        <v>0</v>
      </c>
      <c r="F26" s="373"/>
      <c r="G26" s="373"/>
      <c r="H26" s="373"/>
    </row>
    <row r="27" customFormat="false" ht="12.75" hidden="false" customHeight="false" outlineLevel="0" collapsed="false">
      <c r="A27" s="378"/>
      <c r="B27" s="379"/>
      <c r="C27" s="379"/>
      <c r="D27" s="381"/>
      <c r="E27" s="381"/>
      <c r="F27" s="383" t="n">
        <f aca="false">ROUND(SUM(E16:E26),2)</f>
        <v>0</v>
      </c>
      <c r="G27" s="373"/>
      <c r="H27" s="373"/>
    </row>
    <row r="28" customFormat="false" ht="12.75" hidden="false" customHeight="false" outlineLevel="0" collapsed="false">
      <c r="A28" s="373"/>
      <c r="B28" s="373"/>
      <c r="C28" s="373"/>
      <c r="D28" s="373"/>
      <c r="E28" s="373"/>
      <c r="F28" s="382"/>
      <c r="G28" s="382"/>
      <c r="H28" s="373"/>
    </row>
    <row r="29" customFormat="false" ht="12.75" hidden="false" customHeight="false" outlineLevel="0" collapsed="false">
      <c r="A29" s="390" t="s">
        <v>218</v>
      </c>
      <c r="B29" s="383" t="n">
        <f aca="false">+G12+F27</f>
        <v>0</v>
      </c>
      <c r="C29" s="391"/>
      <c r="D29" s="391"/>
      <c r="E29" s="373"/>
      <c r="F29" s="382"/>
      <c r="G29" s="382"/>
      <c r="H29" s="373"/>
    </row>
    <row r="30" customFormat="false" ht="12.75" hidden="false" customHeight="false" outlineLevel="0" collapsed="false">
      <c r="A30" s="373"/>
      <c r="B30" s="373"/>
      <c r="C30" s="373"/>
      <c r="D30" s="373"/>
      <c r="E30" s="392"/>
      <c r="F30" s="382"/>
      <c r="G30" s="382"/>
      <c r="H30" s="373"/>
    </row>
    <row r="31" customFormat="false" ht="28.5" hidden="false" customHeight="true" outlineLevel="0" collapsed="false">
      <c r="A31" s="393" t="s">
        <v>491</v>
      </c>
      <c r="B31" s="393"/>
      <c r="C31" s="393"/>
      <c r="D31" s="393"/>
      <c r="E31" s="393"/>
      <c r="F31" s="393"/>
      <c r="G31" s="393"/>
      <c r="H31" s="394"/>
    </row>
    <row r="32" customFormat="false" ht="12.75" hidden="false" customHeight="false" outlineLevel="0" collapsed="false">
      <c r="A32" s="395"/>
      <c r="B32" s="395"/>
      <c r="C32" s="395"/>
      <c r="D32" s="395"/>
      <c r="E32" s="395"/>
      <c r="F32" s="396"/>
      <c r="G32" s="396"/>
      <c r="H32" s="373"/>
    </row>
    <row r="33" customFormat="false" ht="46.5" hidden="false" customHeight="true" outlineLevel="0" collapsed="false">
      <c r="A33" s="393" t="s">
        <v>492</v>
      </c>
      <c r="B33" s="393"/>
      <c r="C33" s="393"/>
      <c r="D33" s="393"/>
      <c r="E33" s="393"/>
      <c r="F33" s="393"/>
      <c r="G33" s="393"/>
      <c r="H33" s="373"/>
    </row>
    <row r="34" customFormat="false" ht="12.75" hidden="false" customHeight="false" outlineLevel="0" collapsed="false">
      <c r="A34" s="373"/>
      <c r="B34" s="373"/>
      <c r="C34" s="373"/>
      <c r="D34" s="373"/>
      <c r="E34" s="373"/>
      <c r="F34" s="382"/>
      <c r="G34" s="382"/>
      <c r="H34" s="373"/>
    </row>
    <row r="35" customFormat="false" ht="12.75" hidden="false" customHeight="false" outlineLevel="0" collapsed="false">
      <c r="A35" s="397"/>
      <c r="B35" s="397"/>
      <c r="C35" s="397"/>
      <c r="D35" s="397"/>
      <c r="E35" s="397"/>
      <c r="F35" s="382"/>
      <c r="G35" s="382"/>
      <c r="H35" s="397"/>
    </row>
    <row r="36" customFormat="false" ht="12.75" hidden="false" customHeight="false" outlineLevel="0" collapsed="false">
      <c r="A36" s="398" t="s">
        <v>493</v>
      </c>
      <c r="B36" s="398"/>
      <c r="C36" s="398"/>
      <c r="D36" s="398"/>
      <c r="E36" s="398"/>
      <c r="F36" s="398"/>
      <c r="G36" s="398"/>
      <c r="H36" s="397"/>
    </row>
    <row r="37" s="127" customFormat="true" ht="48" hidden="false" customHeight="false" outlineLevel="0" collapsed="false">
      <c r="A37" s="35" t="s">
        <v>463</v>
      </c>
      <c r="B37" s="35" t="s">
        <v>464</v>
      </c>
      <c r="C37" s="35" t="s">
        <v>465</v>
      </c>
      <c r="D37" s="35" t="s">
        <v>466</v>
      </c>
      <c r="E37" s="375" t="s">
        <v>494</v>
      </c>
      <c r="F37" s="376" t="s">
        <v>495</v>
      </c>
      <c r="G37" s="399"/>
      <c r="H37" s="400"/>
    </row>
    <row r="38" customFormat="false" ht="12.75" hidden="false" customHeight="false" outlineLevel="0" collapsed="false">
      <c r="A38" s="390" t="s">
        <v>469</v>
      </c>
      <c r="B38" s="401" t="n">
        <v>6</v>
      </c>
      <c r="C38" s="401" t="n">
        <f aca="false">+D38/2</f>
        <v>2</v>
      </c>
      <c r="D38" s="401" t="n">
        <v>4</v>
      </c>
      <c r="E38" s="380"/>
      <c r="F38" s="381" t="n">
        <f aca="false">+(E38*D38)/12</f>
        <v>0</v>
      </c>
      <c r="G38" s="402"/>
      <c r="H38" s="382"/>
    </row>
    <row r="39" customFormat="false" ht="12.75" hidden="false" customHeight="false" outlineLevel="0" collapsed="false">
      <c r="A39" s="390" t="s">
        <v>470</v>
      </c>
      <c r="B39" s="401" t="n">
        <v>6</v>
      </c>
      <c r="C39" s="401" t="n">
        <f aca="false">+D39/2</f>
        <v>2</v>
      </c>
      <c r="D39" s="401" t="n">
        <v>4</v>
      </c>
      <c r="E39" s="380"/>
      <c r="F39" s="381" t="n">
        <f aca="false">+(E39*D39)/12</f>
        <v>0</v>
      </c>
      <c r="G39" s="402"/>
      <c r="H39" s="382"/>
    </row>
    <row r="40" customFormat="false" ht="12.75" hidden="false" customHeight="false" outlineLevel="0" collapsed="false">
      <c r="A40" s="390" t="s">
        <v>471</v>
      </c>
      <c r="B40" s="401" t="n">
        <v>6</v>
      </c>
      <c r="C40" s="401" t="n">
        <f aca="false">+D40/2</f>
        <v>2</v>
      </c>
      <c r="D40" s="401" t="n">
        <v>4</v>
      </c>
      <c r="E40" s="380"/>
      <c r="F40" s="381" t="n">
        <f aca="false">+(E40*D40)/12</f>
        <v>0</v>
      </c>
      <c r="G40" s="402"/>
      <c r="H40" s="382"/>
    </row>
    <row r="41" customFormat="false" ht="12.75" hidden="false" customHeight="false" outlineLevel="0" collapsed="false">
      <c r="A41" s="390" t="s">
        <v>472</v>
      </c>
      <c r="B41" s="401" t="n">
        <v>12</v>
      </c>
      <c r="C41" s="401" t="n">
        <v>1</v>
      </c>
      <c r="D41" s="401" t="n">
        <v>2</v>
      </c>
      <c r="E41" s="380"/>
      <c r="F41" s="381" t="n">
        <f aca="false">+(E41*D41)/12</f>
        <v>0</v>
      </c>
      <c r="G41" s="402"/>
      <c r="H41" s="382"/>
    </row>
    <row r="42" customFormat="false" ht="12.75" hidden="false" customHeight="false" outlineLevel="0" collapsed="false">
      <c r="A42" s="390" t="s">
        <v>473</v>
      </c>
      <c r="B42" s="401" t="n">
        <v>12</v>
      </c>
      <c r="C42" s="401"/>
      <c r="D42" s="401" t="n">
        <v>1</v>
      </c>
      <c r="E42" s="380"/>
      <c r="F42" s="381" t="n">
        <f aca="false">+(E42*D42)/12</f>
        <v>0</v>
      </c>
      <c r="G42" s="402"/>
      <c r="H42" s="382"/>
    </row>
    <row r="43" customFormat="false" ht="12.75" hidden="false" customHeight="false" outlineLevel="0" collapsed="false">
      <c r="A43" s="390" t="s">
        <v>474</v>
      </c>
      <c r="B43" s="401" t="n">
        <v>12</v>
      </c>
      <c r="C43" s="401"/>
      <c r="D43" s="401" t="n">
        <v>1</v>
      </c>
      <c r="E43" s="380"/>
      <c r="F43" s="381" t="n">
        <f aca="false">+(E43*D43)/12</f>
        <v>0</v>
      </c>
      <c r="G43" s="402"/>
      <c r="H43" s="382"/>
    </row>
    <row r="44" customFormat="false" ht="12.75" hidden="false" customHeight="false" outlineLevel="0" collapsed="false">
      <c r="A44" s="390" t="s">
        <v>475</v>
      </c>
      <c r="B44" s="401" t="n">
        <v>12</v>
      </c>
      <c r="C44" s="401"/>
      <c r="D44" s="401" t="n">
        <v>1</v>
      </c>
      <c r="E44" s="380"/>
      <c r="F44" s="381" t="n">
        <f aca="false">+(E44*D44)/12</f>
        <v>0</v>
      </c>
      <c r="G44" s="402"/>
      <c r="H44" s="382"/>
    </row>
    <row r="45" customFormat="false" ht="12.75" hidden="false" customHeight="false" outlineLevel="0" collapsed="false">
      <c r="A45" s="390" t="s">
        <v>476</v>
      </c>
      <c r="B45" s="401" t="n">
        <v>12</v>
      </c>
      <c r="C45" s="401"/>
      <c r="D45" s="401" t="n">
        <v>1</v>
      </c>
      <c r="E45" s="380"/>
      <c r="F45" s="381" t="n">
        <f aca="false">+(E45*D45)/12</f>
        <v>0</v>
      </c>
      <c r="G45" s="402"/>
      <c r="H45" s="382"/>
    </row>
    <row r="46" customFormat="false" ht="12.75" hidden="false" customHeight="false" outlineLevel="0" collapsed="false">
      <c r="A46" s="390" t="s">
        <v>477</v>
      </c>
      <c r="B46" s="401" t="n">
        <v>6</v>
      </c>
      <c r="C46" s="401" t="n">
        <v>1</v>
      </c>
      <c r="D46" s="401"/>
      <c r="E46" s="380"/>
      <c r="F46" s="381" t="n">
        <f aca="false">+E46/12</f>
        <v>0</v>
      </c>
      <c r="G46" s="402"/>
      <c r="H46" s="382"/>
    </row>
    <row r="47" customFormat="false" ht="12.75" hidden="false" customHeight="false" outlineLevel="0" collapsed="false">
      <c r="A47" s="390"/>
      <c r="B47" s="401"/>
      <c r="C47" s="401"/>
      <c r="D47" s="401"/>
      <c r="E47" s="381"/>
      <c r="F47" s="381"/>
      <c r="G47" s="403" t="n">
        <f aca="false">SUM(F38:F47)</f>
        <v>0</v>
      </c>
      <c r="H47" s="402"/>
    </row>
    <row r="48" customFormat="false" ht="12.75" hidden="false" customHeight="false" outlineLevel="0" collapsed="false">
      <c r="A48" s="404"/>
      <c r="B48" s="405"/>
      <c r="C48" s="405"/>
      <c r="D48" s="405"/>
      <c r="E48" s="405"/>
      <c r="F48" s="382"/>
      <c r="G48" s="382"/>
      <c r="H48" s="406"/>
    </row>
    <row r="49" customFormat="false" ht="12.75" hidden="false" customHeight="false" outlineLevel="0" collapsed="false">
      <c r="A49" s="407" t="s">
        <v>496</v>
      </c>
      <c r="B49" s="407"/>
      <c r="C49" s="407"/>
      <c r="D49" s="407"/>
      <c r="E49" s="407"/>
      <c r="F49" s="408"/>
      <c r="G49" s="408"/>
      <c r="H49" s="397"/>
    </row>
    <row r="50" s="127" customFormat="true" ht="24" hidden="false" customHeight="false" outlineLevel="0" collapsed="false">
      <c r="A50" s="409" t="s">
        <v>463</v>
      </c>
      <c r="B50" s="409" t="s">
        <v>464</v>
      </c>
      <c r="C50" s="409" t="s">
        <v>497</v>
      </c>
      <c r="D50" s="410" t="s">
        <v>494</v>
      </c>
      <c r="E50" s="410" t="s">
        <v>495</v>
      </c>
      <c r="F50" s="400"/>
      <c r="G50" s="400"/>
      <c r="H50" s="400"/>
    </row>
    <row r="51" customFormat="false" ht="12.75" hidden="false" customHeight="false" outlineLevel="0" collapsed="false">
      <c r="A51" s="390" t="s">
        <v>498</v>
      </c>
      <c r="B51" s="401" t="n">
        <v>30</v>
      </c>
      <c r="C51" s="401" t="n">
        <v>0.25</v>
      </c>
      <c r="D51" s="380"/>
      <c r="E51" s="381" t="n">
        <f aca="false">+(D51/B51)*C51</f>
        <v>0</v>
      </c>
      <c r="F51" s="397"/>
      <c r="G51" s="397"/>
      <c r="H51" s="397"/>
    </row>
    <row r="52" customFormat="false" ht="12.75" hidden="false" customHeight="false" outlineLevel="0" collapsed="false">
      <c r="A52" s="390" t="s">
        <v>499</v>
      </c>
      <c r="B52" s="401" t="n">
        <v>30</v>
      </c>
      <c r="C52" s="401" t="n">
        <v>0.25</v>
      </c>
      <c r="D52" s="380"/>
      <c r="E52" s="381" t="n">
        <f aca="false">+(D52/B52)*C52</f>
        <v>0</v>
      </c>
      <c r="F52" s="397"/>
      <c r="G52" s="397"/>
      <c r="H52" s="397"/>
    </row>
    <row r="53" customFormat="false" ht="12.75" hidden="false" customHeight="false" outlineLevel="0" collapsed="false">
      <c r="A53" s="390" t="s">
        <v>482</v>
      </c>
      <c r="B53" s="401" t="n">
        <v>30</v>
      </c>
      <c r="C53" s="401" t="n">
        <v>1</v>
      </c>
      <c r="D53" s="380"/>
      <c r="E53" s="381" t="n">
        <f aca="false">+(D53/B53)*C53</f>
        <v>0</v>
      </c>
      <c r="F53" s="397"/>
      <c r="G53" s="397"/>
      <c r="H53" s="397"/>
    </row>
    <row r="54" customFormat="false" ht="12.75" hidden="false" customHeight="false" outlineLevel="0" collapsed="false">
      <c r="A54" s="390" t="s">
        <v>483</v>
      </c>
      <c r="B54" s="401" t="n">
        <v>30</v>
      </c>
      <c r="C54" s="401" t="n">
        <v>1</v>
      </c>
      <c r="D54" s="380"/>
      <c r="E54" s="381" t="n">
        <f aca="false">+(D54/B54)*C54</f>
        <v>0</v>
      </c>
      <c r="F54" s="397"/>
      <c r="G54" s="397"/>
      <c r="H54" s="397"/>
    </row>
    <row r="55" customFormat="false" ht="12.75" hidden="false" customHeight="false" outlineLevel="0" collapsed="false">
      <c r="A55" s="390" t="s">
        <v>500</v>
      </c>
      <c r="B55" s="401" t="n">
        <v>60</v>
      </c>
      <c r="C55" s="401" t="n">
        <v>0.25</v>
      </c>
      <c r="D55" s="380"/>
      <c r="E55" s="381" t="n">
        <f aca="false">+(D55/B55)*C55</f>
        <v>0</v>
      </c>
      <c r="F55" s="397"/>
      <c r="G55" s="397"/>
      <c r="H55" s="397"/>
    </row>
    <row r="56" customFormat="false" ht="12.75" hidden="false" customHeight="false" outlineLevel="0" collapsed="false">
      <c r="A56" s="390" t="s">
        <v>501</v>
      </c>
      <c r="B56" s="401" t="n">
        <v>120</v>
      </c>
      <c r="C56" s="401" t="n">
        <v>0.3</v>
      </c>
      <c r="D56" s="380"/>
      <c r="E56" s="381" t="n">
        <f aca="false">+(D56/B56)*C56</f>
        <v>0</v>
      </c>
      <c r="F56" s="397"/>
      <c r="G56" s="397"/>
      <c r="H56" s="397"/>
    </row>
    <row r="57" customFormat="false" ht="12.75" hidden="false" customHeight="false" outlineLevel="0" collapsed="false">
      <c r="A57" s="390" t="s">
        <v>502</v>
      </c>
      <c r="B57" s="401" t="n">
        <v>30</v>
      </c>
      <c r="C57" s="401" t="n">
        <v>0.3</v>
      </c>
      <c r="D57" s="380"/>
      <c r="E57" s="381" t="n">
        <f aca="false">+(D57/B57)*C57</f>
        <v>0</v>
      </c>
      <c r="F57" s="397"/>
      <c r="G57" s="397"/>
      <c r="H57" s="397"/>
    </row>
    <row r="58" customFormat="false" ht="12.75" hidden="false" customHeight="false" outlineLevel="0" collapsed="false">
      <c r="A58" s="390" t="s">
        <v>503</v>
      </c>
      <c r="B58" s="401" t="n">
        <v>30</v>
      </c>
      <c r="C58" s="401" t="n">
        <v>0.3</v>
      </c>
      <c r="D58" s="380"/>
      <c r="E58" s="381" t="n">
        <f aca="false">+(D58/B58)*C58</f>
        <v>0</v>
      </c>
      <c r="F58" s="397"/>
      <c r="G58" s="397"/>
      <c r="H58" s="397"/>
    </row>
    <row r="59" customFormat="false" ht="12.75" hidden="false" customHeight="false" outlineLevel="0" collapsed="false">
      <c r="A59" s="390" t="s">
        <v>504</v>
      </c>
      <c r="B59" s="401" t="n">
        <v>60</v>
      </c>
      <c r="C59" s="401" t="n">
        <v>0.3</v>
      </c>
      <c r="D59" s="380"/>
      <c r="E59" s="381" t="n">
        <f aca="false">+(D59/B59)*C59</f>
        <v>0</v>
      </c>
      <c r="F59" s="397"/>
      <c r="G59" s="397"/>
      <c r="H59" s="397"/>
    </row>
    <row r="60" customFormat="false" ht="12.75" hidden="false" customHeight="false" outlineLevel="0" collapsed="false">
      <c r="A60" s="390" t="s">
        <v>505</v>
      </c>
      <c r="B60" s="401" t="n">
        <v>36</v>
      </c>
      <c r="C60" s="401" t="n">
        <v>0.5</v>
      </c>
      <c r="D60" s="380"/>
      <c r="E60" s="381" t="n">
        <f aca="false">+(D60/B60)*C60</f>
        <v>0</v>
      </c>
      <c r="F60" s="397"/>
      <c r="G60" s="397"/>
      <c r="H60" s="397"/>
    </row>
    <row r="61" customFormat="false" ht="12.75" hidden="false" customHeight="false" outlineLevel="0" collapsed="false">
      <c r="A61" s="390" t="s">
        <v>489</v>
      </c>
      <c r="B61" s="401" t="n">
        <v>60</v>
      </c>
      <c r="C61" s="401" t="n">
        <v>0.5</v>
      </c>
      <c r="D61" s="380"/>
      <c r="E61" s="381" t="n">
        <f aca="false">+(D61/B61)*C61</f>
        <v>0</v>
      </c>
      <c r="F61" s="397"/>
      <c r="G61" s="397"/>
      <c r="H61" s="397"/>
    </row>
    <row r="62" customFormat="false" ht="12.75" hidden="false" customHeight="false" outlineLevel="0" collapsed="false">
      <c r="A62" s="390" t="s">
        <v>490</v>
      </c>
      <c r="B62" s="401" t="n">
        <v>60</v>
      </c>
      <c r="C62" s="401" t="n">
        <v>1</v>
      </c>
      <c r="D62" s="380"/>
      <c r="E62" s="381" t="n">
        <f aca="false">+(D62/B62)*C62</f>
        <v>0</v>
      </c>
      <c r="F62" s="397"/>
      <c r="G62" s="397"/>
      <c r="H62" s="397"/>
    </row>
    <row r="63" customFormat="false" ht="12.75" hidden="false" customHeight="false" outlineLevel="0" collapsed="false">
      <c r="A63" s="390"/>
      <c r="B63" s="401"/>
      <c r="C63" s="401"/>
      <c r="D63" s="381"/>
      <c r="E63" s="381"/>
      <c r="F63" s="403" t="n">
        <f aca="false">SUM(E51:E63)</f>
        <v>0</v>
      </c>
      <c r="G63" s="397"/>
      <c r="H63" s="397"/>
    </row>
    <row r="64" customFormat="false" ht="12.75" hidden="false" customHeight="false" outlineLevel="0" collapsed="false">
      <c r="A64" s="397"/>
      <c r="B64" s="397"/>
      <c r="C64" s="397"/>
      <c r="D64" s="397"/>
      <c r="E64" s="397"/>
      <c r="F64" s="382"/>
      <c r="G64" s="382"/>
      <c r="H64" s="397"/>
    </row>
    <row r="65" customFormat="false" ht="12.75" hidden="false" customHeight="false" outlineLevel="0" collapsed="false">
      <c r="A65" s="390" t="s">
        <v>218</v>
      </c>
      <c r="B65" s="403" t="n">
        <f aca="false">+G47+F63</f>
        <v>0</v>
      </c>
      <c r="C65" s="411"/>
      <c r="D65" s="411"/>
      <c r="E65" s="397"/>
      <c r="F65" s="382"/>
      <c r="G65" s="382"/>
      <c r="H65" s="397"/>
    </row>
    <row r="66" customFormat="false" ht="12.75" hidden="false" customHeight="false" outlineLevel="0" collapsed="false">
      <c r="A66" s="397"/>
      <c r="B66" s="397"/>
      <c r="C66" s="397"/>
      <c r="D66" s="397"/>
      <c r="E66" s="397"/>
      <c r="F66" s="382"/>
      <c r="G66" s="382"/>
      <c r="H66" s="397"/>
    </row>
    <row r="67" customFormat="false" ht="28.5" hidden="false" customHeight="true" outlineLevel="0" collapsed="false">
      <c r="A67" s="393" t="s">
        <v>491</v>
      </c>
      <c r="B67" s="393"/>
      <c r="C67" s="393"/>
      <c r="D67" s="393"/>
      <c r="E67" s="393"/>
      <c r="F67" s="393"/>
      <c r="G67" s="393"/>
      <c r="H67" s="397"/>
    </row>
    <row r="68" customFormat="false" ht="12.75" hidden="false" customHeight="false" outlineLevel="0" collapsed="false">
      <c r="A68" s="395"/>
      <c r="B68" s="395"/>
      <c r="C68" s="395"/>
      <c r="D68" s="395"/>
      <c r="E68" s="395"/>
      <c r="F68" s="396"/>
      <c r="G68" s="396"/>
      <c r="H68" s="397"/>
    </row>
    <row r="69" customFormat="false" ht="48" hidden="false" customHeight="true" outlineLevel="0" collapsed="false">
      <c r="A69" s="393" t="s">
        <v>492</v>
      </c>
      <c r="B69" s="393"/>
      <c r="C69" s="393"/>
      <c r="D69" s="393"/>
      <c r="E69" s="393"/>
      <c r="F69" s="393"/>
      <c r="G69" s="393"/>
      <c r="H69" s="397"/>
    </row>
    <row r="72" s="402" customFormat="true" ht="12.75" hidden="false" customHeight="false" outlineLevel="0" collapsed="false">
      <c r="A72" s="398" t="s">
        <v>506</v>
      </c>
      <c r="B72" s="398"/>
      <c r="C72" s="398"/>
      <c r="D72" s="398"/>
      <c r="E72" s="398"/>
      <c r="F72" s="398"/>
      <c r="G72" s="398"/>
    </row>
    <row r="73" s="402" customFormat="true" ht="48" hidden="false" customHeight="false" outlineLevel="0" collapsed="false">
      <c r="A73" s="35" t="s">
        <v>463</v>
      </c>
      <c r="B73" s="35" t="s">
        <v>464</v>
      </c>
      <c r="C73" s="35" t="s">
        <v>465</v>
      </c>
      <c r="D73" s="35" t="s">
        <v>466</v>
      </c>
      <c r="E73" s="375" t="s">
        <v>467</v>
      </c>
      <c r="F73" s="376" t="s">
        <v>468</v>
      </c>
      <c r="G73" s="400"/>
    </row>
    <row r="74" s="402" customFormat="true" ht="12.75" hidden="false" customHeight="false" outlineLevel="0" collapsed="false">
      <c r="A74" s="390" t="s">
        <v>469</v>
      </c>
      <c r="B74" s="401" t="n">
        <v>6</v>
      </c>
      <c r="C74" s="401" t="n">
        <v>3</v>
      </c>
      <c r="D74" s="401" t="n">
        <f aca="false">+C74*2</f>
        <v>6</v>
      </c>
      <c r="E74" s="380"/>
      <c r="F74" s="381" t="n">
        <f aca="false">+(E74*D74)/12</f>
        <v>0</v>
      </c>
      <c r="G74" s="382"/>
    </row>
    <row r="75" s="402" customFormat="true" ht="12.75" hidden="false" customHeight="false" outlineLevel="0" collapsed="false">
      <c r="A75" s="390" t="s">
        <v>470</v>
      </c>
      <c r="B75" s="401" t="n">
        <v>6</v>
      </c>
      <c r="C75" s="401" t="n">
        <v>3</v>
      </c>
      <c r="D75" s="401" t="n">
        <f aca="false">+C75*2</f>
        <v>6</v>
      </c>
      <c r="E75" s="380"/>
      <c r="F75" s="381" t="n">
        <f aca="false">+(E75*D75)/12</f>
        <v>0</v>
      </c>
      <c r="G75" s="382"/>
    </row>
    <row r="76" s="402" customFormat="true" ht="12.75" hidden="false" customHeight="false" outlineLevel="0" collapsed="false">
      <c r="A76" s="390" t="s">
        <v>471</v>
      </c>
      <c r="B76" s="401" t="n">
        <v>6</v>
      </c>
      <c r="C76" s="401" t="n">
        <v>3</v>
      </c>
      <c r="D76" s="401" t="n">
        <f aca="false">+C76*2</f>
        <v>6</v>
      </c>
      <c r="E76" s="380"/>
      <c r="F76" s="381" t="n">
        <f aca="false">+(E76*D76)/12</f>
        <v>0</v>
      </c>
      <c r="G76" s="382"/>
    </row>
    <row r="77" s="402" customFormat="true" ht="12.75" hidden="false" customHeight="false" outlineLevel="0" collapsed="false">
      <c r="A77" s="390" t="s">
        <v>472</v>
      </c>
      <c r="B77" s="401" t="n">
        <v>12</v>
      </c>
      <c r="C77" s="401" t="n">
        <v>1</v>
      </c>
      <c r="D77" s="401" t="n">
        <v>2</v>
      </c>
      <c r="E77" s="380"/>
      <c r="F77" s="381" t="n">
        <f aca="false">+(E77*D77)/12</f>
        <v>0</v>
      </c>
      <c r="G77" s="382"/>
    </row>
    <row r="78" s="402" customFormat="true" ht="12.75" hidden="false" customHeight="false" outlineLevel="0" collapsed="false">
      <c r="A78" s="390" t="s">
        <v>473</v>
      </c>
      <c r="B78" s="401" t="n">
        <v>12</v>
      </c>
      <c r="C78" s="401"/>
      <c r="D78" s="401" t="n">
        <v>1</v>
      </c>
      <c r="E78" s="380"/>
      <c r="F78" s="381" t="n">
        <f aca="false">+(E78*D78)/12</f>
        <v>0</v>
      </c>
      <c r="G78" s="382"/>
    </row>
    <row r="79" s="402" customFormat="true" ht="12.75" hidden="false" customHeight="false" outlineLevel="0" collapsed="false">
      <c r="A79" s="390" t="s">
        <v>474</v>
      </c>
      <c r="B79" s="401" t="n">
        <v>12</v>
      </c>
      <c r="C79" s="401"/>
      <c r="D79" s="401" t="n">
        <v>1</v>
      </c>
      <c r="E79" s="380"/>
      <c r="F79" s="381" t="n">
        <f aca="false">+(E79*D79)/12</f>
        <v>0</v>
      </c>
      <c r="G79" s="382"/>
    </row>
    <row r="80" s="402" customFormat="true" ht="12.75" hidden="false" customHeight="false" outlineLevel="0" collapsed="false">
      <c r="A80" s="390" t="s">
        <v>475</v>
      </c>
      <c r="B80" s="401" t="n">
        <v>12</v>
      </c>
      <c r="C80" s="401"/>
      <c r="D80" s="401" t="n">
        <v>1</v>
      </c>
      <c r="E80" s="380"/>
      <c r="F80" s="381" t="n">
        <f aca="false">+(E80*D80)/12</f>
        <v>0</v>
      </c>
      <c r="G80" s="382"/>
    </row>
    <row r="81" s="402" customFormat="true" ht="12.75" hidden="false" customHeight="false" outlineLevel="0" collapsed="false">
      <c r="A81" s="390" t="s">
        <v>476</v>
      </c>
      <c r="B81" s="401" t="n">
        <v>12</v>
      </c>
      <c r="C81" s="401"/>
      <c r="D81" s="401" t="n">
        <v>1</v>
      </c>
      <c r="E81" s="380"/>
      <c r="F81" s="381" t="n">
        <f aca="false">+(E81*D81)/12</f>
        <v>0</v>
      </c>
      <c r="G81" s="382"/>
    </row>
    <row r="82" s="402" customFormat="true" ht="12.75" hidden="false" customHeight="false" outlineLevel="0" collapsed="false">
      <c r="A82" s="390" t="s">
        <v>477</v>
      </c>
      <c r="B82" s="401" t="n">
        <v>6</v>
      </c>
      <c r="C82" s="401" t="n">
        <v>1</v>
      </c>
      <c r="D82" s="401"/>
      <c r="E82" s="380"/>
      <c r="F82" s="381" t="n">
        <f aca="false">+(E82)/12</f>
        <v>0</v>
      </c>
      <c r="G82" s="382"/>
    </row>
    <row r="83" s="402" customFormat="true" ht="12.75" hidden="false" customHeight="false" outlineLevel="0" collapsed="false">
      <c r="A83" s="390"/>
      <c r="B83" s="401"/>
      <c r="C83" s="401"/>
      <c r="D83" s="401"/>
      <c r="E83" s="381"/>
      <c r="F83" s="381" t="n">
        <v>0</v>
      </c>
      <c r="G83" s="403" t="n">
        <f aca="false">ROUND(SUM(F74:F82),2)</f>
        <v>0</v>
      </c>
    </row>
    <row r="84" s="402" customFormat="true" ht="12.75" hidden="false" customHeight="false" outlineLevel="0" collapsed="false">
      <c r="A84" s="404"/>
      <c r="B84" s="405"/>
      <c r="C84" s="405"/>
      <c r="D84" s="405"/>
      <c r="E84" s="405"/>
      <c r="F84" s="382"/>
      <c r="G84" s="382"/>
    </row>
    <row r="85" s="402" customFormat="true" ht="12.75" hidden="false" customHeight="false" outlineLevel="0" collapsed="false">
      <c r="A85" s="398" t="s">
        <v>478</v>
      </c>
      <c r="B85" s="398"/>
      <c r="C85" s="398"/>
      <c r="D85" s="398"/>
      <c r="E85" s="398"/>
      <c r="F85" s="408"/>
      <c r="G85" s="408"/>
    </row>
    <row r="86" s="402" customFormat="true" ht="36" hidden="false" customHeight="false" outlineLevel="0" collapsed="false">
      <c r="A86" s="409" t="s">
        <v>463</v>
      </c>
      <c r="B86" s="409" t="s">
        <v>464</v>
      </c>
      <c r="C86" s="409" t="s">
        <v>479</v>
      </c>
      <c r="D86" s="389" t="s">
        <v>467</v>
      </c>
      <c r="E86" s="376" t="s">
        <v>468</v>
      </c>
      <c r="F86" s="400"/>
      <c r="G86" s="400"/>
    </row>
    <row r="87" s="402" customFormat="true" ht="12.75" hidden="false" customHeight="false" outlineLevel="0" collapsed="false">
      <c r="A87" s="390" t="s">
        <v>480</v>
      </c>
      <c r="B87" s="401" t="n">
        <v>30</v>
      </c>
      <c r="C87" s="401" t="n">
        <v>0.5</v>
      </c>
      <c r="D87" s="380"/>
      <c r="E87" s="381" t="n">
        <f aca="false">+(D87/B87)*C87</f>
        <v>0</v>
      </c>
      <c r="F87" s="397"/>
      <c r="G87" s="397"/>
    </row>
    <row r="88" s="402" customFormat="true" ht="12.75" hidden="false" customHeight="false" outlineLevel="0" collapsed="false">
      <c r="A88" s="390" t="s">
        <v>481</v>
      </c>
      <c r="B88" s="401" t="n">
        <v>30</v>
      </c>
      <c r="C88" s="401" t="n">
        <v>0.5</v>
      </c>
      <c r="D88" s="380"/>
      <c r="E88" s="381" t="n">
        <f aca="false">+(D88/B88)*C88</f>
        <v>0</v>
      </c>
      <c r="F88" s="397"/>
      <c r="G88" s="397"/>
    </row>
    <row r="89" s="402" customFormat="true" ht="12.75" hidden="false" customHeight="false" outlineLevel="0" collapsed="false">
      <c r="A89" s="390" t="s">
        <v>482</v>
      </c>
      <c r="B89" s="401" t="n">
        <v>30</v>
      </c>
      <c r="C89" s="401" t="n">
        <v>1</v>
      </c>
      <c r="D89" s="380"/>
      <c r="E89" s="381" t="n">
        <f aca="false">+(D89/B89)*C89</f>
        <v>0</v>
      </c>
      <c r="F89" s="397"/>
      <c r="G89" s="397"/>
    </row>
    <row r="90" s="402" customFormat="true" ht="12.75" hidden="false" customHeight="false" outlineLevel="0" collapsed="false">
      <c r="A90" s="390" t="s">
        <v>483</v>
      </c>
      <c r="B90" s="401" t="n">
        <v>30</v>
      </c>
      <c r="C90" s="401" t="n">
        <v>1</v>
      </c>
      <c r="D90" s="380"/>
      <c r="E90" s="381" t="n">
        <f aca="false">+(D90/B90)*C90</f>
        <v>0</v>
      </c>
      <c r="F90" s="397"/>
      <c r="G90" s="397"/>
    </row>
    <row r="91" s="402" customFormat="true" ht="12.75" hidden="false" customHeight="false" outlineLevel="0" collapsed="false">
      <c r="A91" s="390" t="s">
        <v>484</v>
      </c>
      <c r="B91" s="401" t="n">
        <v>60</v>
      </c>
      <c r="C91" s="401" t="n">
        <v>0.5</v>
      </c>
      <c r="D91" s="380"/>
      <c r="E91" s="381" t="n">
        <f aca="false">+(D91/B91)*C91</f>
        <v>0</v>
      </c>
      <c r="F91" s="397"/>
      <c r="G91" s="397"/>
    </row>
    <row r="92" s="402" customFormat="true" ht="12.75" hidden="false" customHeight="false" outlineLevel="0" collapsed="false">
      <c r="A92" s="390" t="s">
        <v>485</v>
      </c>
      <c r="B92" s="401" t="n">
        <v>120</v>
      </c>
      <c r="C92" s="401" t="n">
        <v>0.3</v>
      </c>
      <c r="D92" s="380"/>
      <c r="E92" s="381" t="n">
        <f aca="false">+(D92/B92)*C92</f>
        <v>0</v>
      </c>
      <c r="F92" s="397"/>
      <c r="G92" s="397"/>
    </row>
    <row r="93" s="402" customFormat="true" ht="12.75" hidden="false" customHeight="false" outlineLevel="0" collapsed="false">
      <c r="A93" s="390" t="s">
        <v>486</v>
      </c>
      <c r="B93" s="401" t="n">
        <v>30</v>
      </c>
      <c r="C93" s="401" t="n">
        <v>0.3</v>
      </c>
      <c r="D93" s="380"/>
      <c r="E93" s="381" t="n">
        <f aca="false">+(D93/B93)*C93</f>
        <v>0</v>
      </c>
      <c r="F93" s="397"/>
      <c r="G93" s="397"/>
    </row>
    <row r="94" s="402" customFormat="true" ht="12.75" hidden="false" customHeight="false" outlineLevel="0" collapsed="false">
      <c r="A94" s="390" t="s">
        <v>487</v>
      </c>
      <c r="B94" s="401" t="n">
        <v>30</v>
      </c>
      <c r="C94" s="401" t="n">
        <v>0.3</v>
      </c>
      <c r="D94" s="380"/>
      <c r="E94" s="381" t="n">
        <f aca="false">+(D94/B94)*C94</f>
        <v>0</v>
      </c>
      <c r="F94" s="397"/>
      <c r="G94" s="397"/>
    </row>
    <row r="95" s="402" customFormat="true" ht="12.75" hidden="false" customHeight="false" outlineLevel="0" collapsed="false">
      <c r="A95" s="390" t="s">
        <v>488</v>
      </c>
      <c r="B95" s="401" t="n">
        <v>24</v>
      </c>
      <c r="C95" s="401" t="n">
        <v>0.3</v>
      </c>
      <c r="D95" s="380"/>
      <c r="E95" s="381" t="n">
        <f aca="false">+(D95/B95)*C95</f>
        <v>0</v>
      </c>
      <c r="F95" s="397"/>
      <c r="G95" s="397"/>
    </row>
    <row r="96" s="402" customFormat="true" ht="12.75" hidden="false" customHeight="false" outlineLevel="0" collapsed="false">
      <c r="A96" s="390" t="s">
        <v>489</v>
      </c>
      <c r="B96" s="401" t="n">
        <v>60</v>
      </c>
      <c r="C96" s="401" t="n">
        <v>0.5</v>
      </c>
      <c r="D96" s="380"/>
      <c r="E96" s="381" t="n">
        <f aca="false">+(D96/B96)*C96</f>
        <v>0</v>
      </c>
      <c r="F96" s="397"/>
      <c r="G96" s="397"/>
    </row>
    <row r="97" s="402" customFormat="true" ht="12.75" hidden="false" customHeight="false" outlineLevel="0" collapsed="false">
      <c r="A97" s="390" t="s">
        <v>490</v>
      </c>
      <c r="B97" s="401" t="n">
        <v>60</v>
      </c>
      <c r="C97" s="401" t="n">
        <v>1</v>
      </c>
      <c r="D97" s="380"/>
      <c r="E97" s="381" t="n">
        <f aca="false">+(D97/B97)*C97</f>
        <v>0</v>
      </c>
      <c r="F97" s="397"/>
      <c r="G97" s="397"/>
    </row>
    <row r="98" s="402" customFormat="true" ht="12.75" hidden="false" customHeight="false" outlineLevel="0" collapsed="false">
      <c r="A98" s="390"/>
      <c r="B98" s="401"/>
      <c r="C98" s="401"/>
      <c r="D98" s="381"/>
      <c r="E98" s="381"/>
      <c r="F98" s="403" t="n">
        <f aca="false">ROUND(SUM(E87:E97),2)</f>
        <v>0</v>
      </c>
      <c r="G98" s="397"/>
    </row>
    <row r="99" s="402" customFormat="true" ht="12.75" hidden="false" customHeight="false" outlineLevel="0" collapsed="false">
      <c r="A99" s="397"/>
      <c r="B99" s="397"/>
      <c r="C99" s="397"/>
      <c r="D99" s="397"/>
      <c r="E99" s="397"/>
      <c r="F99" s="382"/>
      <c r="G99" s="382"/>
    </row>
    <row r="100" s="402" customFormat="true" ht="12.75" hidden="false" customHeight="false" outlineLevel="0" collapsed="false">
      <c r="A100" s="390" t="s">
        <v>218</v>
      </c>
      <c r="B100" s="403" t="n">
        <f aca="false">+G83+F98</f>
        <v>0</v>
      </c>
      <c r="C100" s="411"/>
      <c r="D100" s="411"/>
      <c r="E100" s="397"/>
      <c r="F100" s="382"/>
      <c r="G100" s="382"/>
    </row>
    <row r="101" s="402" customFormat="true" ht="12.75" hidden="false" customHeight="false" outlineLevel="0" collapsed="false">
      <c r="A101" s="397"/>
      <c r="B101" s="397"/>
      <c r="C101" s="397"/>
      <c r="D101" s="397"/>
      <c r="E101" s="412"/>
      <c r="F101" s="382"/>
      <c r="G101" s="382"/>
    </row>
    <row r="102" s="402" customFormat="true" ht="34.5" hidden="false" customHeight="true" outlineLevel="0" collapsed="false">
      <c r="A102" s="393" t="s">
        <v>491</v>
      </c>
      <c r="B102" s="393"/>
      <c r="C102" s="393"/>
      <c r="D102" s="393"/>
      <c r="E102" s="393"/>
      <c r="F102" s="393"/>
      <c r="G102" s="393"/>
    </row>
    <row r="103" s="402" customFormat="true" ht="12.75" hidden="false" customHeight="false" outlineLevel="0" collapsed="false">
      <c r="A103" s="413"/>
      <c r="B103" s="413"/>
      <c r="C103" s="413"/>
      <c r="D103" s="413"/>
      <c r="E103" s="413"/>
      <c r="F103" s="396"/>
      <c r="G103" s="396"/>
    </row>
    <row r="104" s="402" customFormat="true" ht="51.75" hidden="false" customHeight="true" outlineLevel="0" collapsed="false">
      <c r="A104" s="393" t="s">
        <v>492</v>
      </c>
      <c r="B104" s="393"/>
      <c r="C104" s="393"/>
      <c r="D104" s="393"/>
      <c r="E104" s="393"/>
      <c r="F104" s="393"/>
      <c r="G104" s="393"/>
    </row>
    <row r="105" s="402" customFormat="true" ht="12.75" hidden="false" customHeight="false" outlineLevel="0" collapsed="false"/>
    <row r="106" s="402" customFormat="true" ht="12.75" hidden="false" customHeight="false" outlineLevel="0" collapsed="false">
      <c r="A106" s="398" t="s">
        <v>507</v>
      </c>
      <c r="B106" s="398"/>
      <c r="C106" s="398"/>
      <c r="D106" s="398"/>
      <c r="E106" s="398"/>
      <c r="F106" s="398"/>
      <c r="G106" s="398"/>
    </row>
    <row r="107" s="402" customFormat="true" ht="48" hidden="false" customHeight="false" outlineLevel="0" collapsed="false">
      <c r="A107" s="35" t="s">
        <v>463</v>
      </c>
      <c r="B107" s="35" t="s">
        <v>464</v>
      </c>
      <c r="C107" s="35" t="s">
        <v>465</v>
      </c>
      <c r="D107" s="35" t="s">
        <v>466</v>
      </c>
      <c r="E107" s="375" t="s">
        <v>467</v>
      </c>
      <c r="F107" s="376" t="s">
        <v>468</v>
      </c>
      <c r="G107" s="400"/>
    </row>
    <row r="108" s="402" customFormat="true" ht="12.75" hidden="false" customHeight="false" outlineLevel="0" collapsed="false">
      <c r="A108" s="390" t="s">
        <v>469</v>
      </c>
      <c r="B108" s="401" t="n">
        <v>6</v>
      </c>
      <c r="C108" s="401" t="n">
        <v>2</v>
      </c>
      <c r="D108" s="401" t="n">
        <f aca="false">+C108*2</f>
        <v>4</v>
      </c>
      <c r="E108" s="380"/>
      <c r="F108" s="381" t="n">
        <f aca="false">+(E108*D108)/12</f>
        <v>0</v>
      </c>
      <c r="G108" s="382"/>
    </row>
    <row r="109" s="402" customFormat="true" ht="12.75" hidden="false" customHeight="false" outlineLevel="0" collapsed="false">
      <c r="A109" s="390" t="s">
        <v>470</v>
      </c>
      <c r="B109" s="401" t="n">
        <v>6</v>
      </c>
      <c r="C109" s="401" t="n">
        <v>2</v>
      </c>
      <c r="D109" s="401" t="n">
        <f aca="false">+C109*2</f>
        <v>4</v>
      </c>
      <c r="E109" s="380"/>
      <c r="F109" s="381" t="n">
        <f aca="false">+(E109*D109)/12</f>
        <v>0</v>
      </c>
      <c r="G109" s="382"/>
    </row>
    <row r="110" s="402" customFormat="true" ht="12.75" hidden="false" customHeight="false" outlineLevel="0" collapsed="false">
      <c r="A110" s="390" t="s">
        <v>471</v>
      </c>
      <c r="B110" s="401" t="n">
        <v>6</v>
      </c>
      <c r="C110" s="401" t="n">
        <v>2</v>
      </c>
      <c r="D110" s="401" t="n">
        <f aca="false">+C110*2</f>
        <v>4</v>
      </c>
      <c r="E110" s="380"/>
      <c r="F110" s="381" t="n">
        <f aca="false">+(E110*D110)/12</f>
        <v>0</v>
      </c>
      <c r="G110" s="382"/>
    </row>
    <row r="111" s="402" customFormat="true" ht="12.75" hidden="false" customHeight="false" outlineLevel="0" collapsed="false">
      <c r="A111" s="390" t="s">
        <v>472</v>
      </c>
      <c r="B111" s="401" t="n">
        <v>12</v>
      </c>
      <c r="C111" s="401" t="n">
        <v>1</v>
      </c>
      <c r="D111" s="401" t="n">
        <v>2</v>
      </c>
      <c r="E111" s="380"/>
      <c r="F111" s="381" t="n">
        <f aca="false">+(E111*D111)/12</f>
        <v>0</v>
      </c>
      <c r="G111" s="382"/>
    </row>
    <row r="112" s="402" customFormat="true" ht="12.75" hidden="false" customHeight="false" outlineLevel="0" collapsed="false">
      <c r="A112" s="390" t="s">
        <v>473</v>
      </c>
      <c r="B112" s="401" t="n">
        <v>12</v>
      </c>
      <c r="C112" s="401"/>
      <c r="D112" s="401" t="n">
        <v>1</v>
      </c>
      <c r="E112" s="380"/>
      <c r="F112" s="381" t="n">
        <f aca="false">+(E112*D112)/12</f>
        <v>0</v>
      </c>
      <c r="G112" s="382"/>
    </row>
    <row r="113" s="402" customFormat="true" ht="12.75" hidden="false" customHeight="false" outlineLevel="0" collapsed="false">
      <c r="A113" s="390" t="s">
        <v>474</v>
      </c>
      <c r="B113" s="401" t="n">
        <v>12</v>
      </c>
      <c r="C113" s="401"/>
      <c r="D113" s="401" t="n">
        <v>1</v>
      </c>
      <c r="E113" s="380"/>
      <c r="F113" s="381" t="n">
        <f aca="false">+(E113*D113)/12</f>
        <v>0</v>
      </c>
      <c r="G113" s="382"/>
    </row>
    <row r="114" s="402" customFormat="true" ht="12.75" hidden="false" customHeight="false" outlineLevel="0" collapsed="false">
      <c r="A114" s="390" t="s">
        <v>475</v>
      </c>
      <c r="B114" s="401" t="n">
        <v>12</v>
      </c>
      <c r="C114" s="401"/>
      <c r="D114" s="401" t="n">
        <v>1</v>
      </c>
      <c r="E114" s="380"/>
      <c r="F114" s="381" t="n">
        <f aca="false">+(E114*D114)/12</f>
        <v>0</v>
      </c>
      <c r="G114" s="382"/>
    </row>
    <row r="115" s="402" customFormat="true" ht="12.75" hidden="false" customHeight="false" outlineLevel="0" collapsed="false">
      <c r="A115" s="390" t="s">
        <v>476</v>
      </c>
      <c r="B115" s="401" t="n">
        <v>12</v>
      </c>
      <c r="C115" s="401"/>
      <c r="D115" s="401" t="n">
        <v>1</v>
      </c>
      <c r="E115" s="380"/>
      <c r="F115" s="381" t="n">
        <f aca="false">+(E115*D115)/12</f>
        <v>0</v>
      </c>
      <c r="G115" s="382"/>
    </row>
    <row r="116" s="402" customFormat="true" ht="12.75" hidden="false" customHeight="false" outlineLevel="0" collapsed="false">
      <c r="A116" s="390" t="s">
        <v>477</v>
      </c>
      <c r="B116" s="401" t="n">
        <v>6</v>
      </c>
      <c r="C116" s="401" t="n">
        <v>1</v>
      </c>
      <c r="D116" s="401"/>
      <c r="E116" s="380"/>
      <c r="F116" s="381" t="n">
        <f aca="false">+(E116)/12</f>
        <v>0</v>
      </c>
      <c r="G116" s="382"/>
    </row>
    <row r="117" s="402" customFormat="true" ht="12.75" hidden="false" customHeight="false" outlineLevel="0" collapsed="false">
      <c r="A117" s="390"/>
      <c r="B117" s="401"/>
      <c r="C117" s="401"/>
      <c r="D117" s="401"/>
      <c r="E117" s="381"/>
      <c r="F117" s="381" t="n">
        <v>0</v>
      </c>
      <c r="G117" s="403" t="n">
        <f aca="false">ROUND(SUM(F108:F116),2)</f>
        <v>0</v>
      </c>
    </row>
    <row r="118" s="402" customFormat="true" ht="12.75" hidden="false" customHeight="false" outlineLevel="0" collapsed="false">
      <c r="A118" s="404"/>
      <c r="B118" s="405"/>
      <c r="C118" s="405"/>
      <c r="D118" s="405"/>
      <c r="E118" s="405"/>
      <c r="F118" s="382"/>
      <c r="G118" s="382"/>
    </row>
    <row r="119" s="402" customFormat="true" ht="12.75" hidden="false" customHeight="false" outlineLevel="0" collapsed="false">
      <c r="A119" s="398" t="s">
        <v>508</v>
      </c>
      <c r="B119" s="398"/>
      <c r="C119" s="398"/>
      <c r="D119" s="398"/>
      <c r="E119" s="398"/>
      <c r="F119" s="408"/>
      <c r="G119" s="408"/>
    </row>
    <row r="120" s="402" customFormat="true" ht="36" hidden="false" customHeight="false" outlineLevel="0" collapsed="false">
      <c r="A120" s="409" t="s">
        <v>463</v>
      </c>
      <c r="B120" s="409" t="s">
        <v>464</v>
      </c>
      <c r="C120" s="409" t="s">
        <v>479</v>
      </c>
      <c r="D120" s="389" t="s">
        <v>467</v>
      </c>
      <c r="E120" s="376" t="s">
        <v>468</v>
      </c>
      <c r="F120" s="400"/>
      <c r="G120" s="400"/>
    </row>
    <row r="121" s="402" customFormat="true" ht="12.75" hidden="false" customHeight="false" outlineLevel="0" collapsed="false">
      <c r="A121" s="390" t="s">
        <v>482</v>
      </c>
      <c r="B121" s="401" t="n">
        <v>30</v>
      </c>
      <c r="C121" s="401" t="n">
        <v>1</v>
      </c>
      <c r="D121" s="380"/>
      <c r="E121" s="381" t="n">
        <f aca="false">+(D121/B121)*C121</f>
        <v>0</v>
      </c>
      <c r="F121" s="397"/>
      <c r="G121" s="397"/>
    </row>
    <row r="122" s="402" customFormat="true" ht="12.75" hidden="false" customHeight="false" outlineLevel="0" collapsed="false">
      <c r="A122" s="390" t="s">
        <v>483</v>
      </c>
      <c r="B122" s="401" t="n">
        <v>30</v>
      </c>
      <c r="C122" s="401" t="n">
        <v>1</v>
      </c>
      <c r="D122" s="380"/>
      <c r="E122" s="381" t="n">
        <f aca="false">+(D122/B122)*C122</f>
        <v>0</v>
      </c>
      <c r="F122" s="397"/>
      <c r="G122" s="397"/>
    </row>
    <row r="123" s="402" customFormat="true" ht="12.75" hidden="false" customHeight="false" outlineLevel="0" collapsed="false">
      <c r="A123" s="390" t="s">
        <v>484</v>
      </c>
      <c r="B123" s="401" t="n">
        <v>60</v>
      </c>
      <c r="C123" s="401" t="n">
        <v>0.25</v>
      </c>
      <c r="D123" s="380"/>
      <c r="E123" s="381" t="n">
        <f aca="false">+(D123/B123)*C123</f>
        <v>0</v>
      </c>
      <c r="F123" s="397"/>
      <c r="G123" s="397"/>
    </row>
    <row r="124" s="402" customFormat="true" ht="12.75" hidden="false" customHeight="false" outlineLevel="0" collapsed="false">
      <c r="A124" s="390"/>
      <c r="B124" s="401"/>
      <c r="C124" s="401"/>
      <c r="D124" s="381"/>
      <c r="E124" s="381"/>
      <c r="F124" s="403" t="n">
        <f aca="false">ROUND(SUM(E121:E123),2)</f>
        <v>0</v>
      </c>
      <c r="G124" s="397"/>
    </row>
    <row r="125" s="402" customFormat="true" ht="12.75" hidden="false" customHeight="false" outlineLevel="0" collapsed="false">
      <c r="A125" s="397"/>
      <c r="B125" s="397"/>
      <c r="C125" s="397"/>
      <c r="D125" s="397"/>
      <c r="E125" s="397"/>
      <c r="F125" s="382"/>
      <c r="G125" s="382"/>
    </row>
    <row r="126" s="402" customFormat="true" ht="12.75" hidden="false" customHeight="false" outlineLevel="0" collapsed="false">
      <c r="A126" s="390" t="s">
        <v>218</v>
      </c>
      <c r="B126" s="403" t="n">
        <f aca="false">+G117+F124</f>
        <v>0</v>
      </c>
      <c r="C126" s="411"/>
      <c r="D126" s="411"/>
      <c r="E126" s="397"/>
      <c r="F126" s="382"/>
      <c r="G126" s="382"/>
    </row>
    <row r="127" s="402" customFormat="true" ht="12.75" hidden="false" customHeight="false" outlineLevel="0" collapsed="false">
      <c r="A127" s="397"/>
      <c r="B127" s="397"/>
      <c r="C127" s="397"/>
      <c r="D127" s="397"/>
      <c r="E127" s="412"/>
      <c r="F127" s="382"/>
      <c r="G127" s="382"/>
    </row>
    <row r="128" s="402" customFormat="true" ht="36.75" hidden="false" customHeight="true" outlineLevel="0" collapsed="false">
      <c r="A128" s="393" t="s">
        <v>509</v>
      </c>
      <c r="B128" s="393"/>
      <c r="C128" s="393"/>
      <c r="D128" s="393"/>
      <c r="E128" s="393"/>
      <c r="F128" s="393"/>
      <c r="G128" s="393"/>
    </row>
    <row r="129" s="399" customFormat="true" ht="12.75" hidden="false" customHeight="false" outlineLevel="0" collapsed="false"/>
    <row r="130" s="402" customFormat="true" ht="12.75" hidden="false" customHeight="false" outlineLevel="0" collapsed="false">
      <c r="A130" s="398" t="s">
        <v>510</v>
      </c>
      <c r="B130" s="398"/>
      <c r="C130" s="398"/>
      <c r="D130" s="398"/>
      <c r="E130" s="398"/>
      <c r="F130" s="398"/>
      <c r="G130" s="398"/>
    </row>
    <row r="131" s="402" customFormat="true" ht="48" hidden="false" customHeight="false" outlineLevel="0" collapsed="false">
      <c r="A131" s="35" t="s">
        <v>463</v>
      </c>
      <c r="B131" s="35" t="s">
        <v>464</v>
      </c>
      <c r="C131" s="35" t="s">
        <v>465</v>
      </c>
      <c r="D131" s="35" t="s">
        <v>466</v>
      </c>
      <c r="E131" s="375" t="s">
        <v>494</v>
      </c>
      <c r="F131" s="376" t="s">
        <v>495</v>
      </c>
      <c r="G131" s="399"/>
    </row>
    <row r="132" s="402" customFormat="true" ht="12.75" hidden="false" customHeight="false" outlineLevel="0" collapsed="false">
      <c r="A132" s="390" t="s">
        <v>469</v>
      </c>
      <c r="B132" s="401" t="n">
        <v>6</v>
      </c>
      <c r="C132" s="401" t="n">
        <f aca="false">+D132/2</f>
        <v>2</v>
      </c>
      <c r="D132" s="401" t="n">
        <v>4</v>
      </c>
      <c r="E132" s="380"/>
      <c r="F132" s="381" t="n">
        <f aca="false">+(E132*D132)/12</f>
        <v>0</v>
      </c>
    </row>
    <row r="133" s="402" customFormat="true" ht="12.75" hidden="false" customHeight="false" outlineLevel="0" collapsed="false">
      <c r="A133" s="390" t="s">
        <v>470</v>
      </c>
      <c r="B133" s="401" t="n">
        <v>6</v>
      </c>
      <c r="C133" s="401" t="n">
        <f aca="false">+D133/2</f>
        <v>2</v>
      </c>
      <c r="D133" s="401" t="n">
        <v>4</v>
      </c>
      <c r="E133" s="380"/>
      <c r="F133" s="381" t="n">
        <f aca="false">+(E133*D133)/12</f>
        <v>0</v>
      </c>
    </row>
    <row r="134" s="402" customFormat="true" ht="12.75" hidden="false" customHeight="false" outlineLevel="0" collapsed="false">
      <c r="A134" s="390" t="s">
        <v>471</v>
      </c>
      <c r="B134" s="401" t="n">
        <v>6</v>
      </c>
      <c r="C134" s="401" t="n">
        <f aca="false">+D134/2</f>
        <v>2</v>
      </c>
      <c r="D134" s="401" t="n">
        <v>4</v>
      </c>
      <c r="E134" s="380"/>
      <c r="F134" s="381" t="n">
        <f aca="false">+(E134*D134)/12</f>
        <v>0</v>
      </c>
    </row>
    <row r="135" s="402" customFormat="true" ht="12.75" hidden="false" customHeight="false" outlineLevel="0" collapsed="false">
      <c r="A135" s="390" t="s">
        <v>472</v>
      </c>
      <c r="B135" s="401" t="n">
        <v>12</v>
      </c>
      <c r="C135" s="401" t="n">
        <v>1</v>
      </c>
      <c r="D135" s="401" t="n">
        <v>2</v>
      </c>
      <c r="E135" s="380"/>
      <c r="F135" s="381" t="n">
        <f aca="false">+(E135*D135)/12</f>
        <v>0</v>
      </c>
    </row>
    <row r="136" s="402" customFormat="true" ht="12.75" hidden="false" customHeight="false" outlineLevel="0" collapsed="false">
      <c r="A136" s="390" t="s">
        <v>473</v>
      </c>
      <c r="B136" s="401" t="n">
        <v>12</v>
      </c>
      <c r="C136" s="401"/>
      <c r="D136" s="401" t="n">
        <v>1</v>
      </c>
      <c r="E136" s="380"/>
      <c r="F136" s="381" t="n">
        <f aca="false">+(E136*D136)/12</f>
        <v>0</v>
      </c>
    </row>
    <row r="137" s="402" customFormat="true" ht="12.75" hidden="false" customHeight="false" outlineLevel="0" collapsed="false">
      <c r="A137" s="390" t="s">
        <v>474</v>
      </c>
      <c r="B137" s="401" t="n">
        <v>12</v>
      </c>
      <c r="C137" s="401"/>
      <c r="D137" s="401" t="n">
        <v>1</v>
      </c>
      <c r="E137" s="380"/>
      <c r="F137" s="381" t="n">
        <f aca="false">+(E137*D137)/12</f>
        <v>0</v>
      </c>
    </row>
    <row r="138" s="402" customFormat="true" ht="12.75" hidden="false" customHeight="false" outlineLevel="0" collapsed="false">
      <c r="A138" s="390" t="s">
        <v>475</v>
      </c>
      <c r="B138" s="401" t="n">
        <v>12</v>
      </c>
      <c r="C138" s="401"/>
      <c r="D138" s="401" t="n">
        <v>1</v>
      </c>
      <c r="E138" s="380"/>
      <c r="F138" s="381" t="n">
        <f aca="false">+(E138*D138)/12</f>
        <v>0</v>
      </c>
    </row>
    <row r="139" s="402" customFormat="true" ht="12.75" hidden="false" customHeight="false" outlineLevel="0" collapsed="false">
      <c r="A139" s="390" t="s">
        <v>476</v>
      </c>
      <c r="B139" s="401" t="n">
        <v>12</v>
      </c>
      <c r="C139" s="401"/>
      <c r="D139" s="401" t="n">
        <v>1</v>
      </c>
      <c r="E139" s="380"/>
      <c r="F139" s="381" t="n">
        <f aca="false">+(E139*D139)/12</f>
        <v>0</v>
      </c>
    </row>
    <row r="140" s="402" customFormat="true" ht="12.75" hidden="false" customHeight="false" outlineLevel="0" collapsed="false">
      <c r="A140" s="390" t="s">
        <v>477</v>
      </c>
      <c r="B140" s="401" t="n">
        <v>6</v>
      </c>
      <c r="C140" s="401" t="n">
        <v>1</v>
      </c>
      <c r="D140" s="401"/>
      <c r="E140" s="380"/>
      <c r="F140" s="381" t="n">
        <f aca="false">+E140/12</f>
        <v>0</v>
      </c>
    </row>
    <row r="141" s="402" customFormat="true" ht="12.75" hidden="false" customHeight="false" outlineLevel="0" collapsed="false">
      <c r="A141" s="390"/>
      <c r="B141" s="401"/>
      <c r="C141" s="401"/>
      <c r="D141" s="401"/>
      <c r="E141" s="381"/>
      <c r="F141" s="381"/>
      <c r="G141" s="403" t="n">
        <f aca="false">SUM(F132:F141)</f>
        <v>0</v>
      </c>
    </row>
    <row r="142" s="402" customFormat="true" ht="12.75" hidden="false" customHeight="false" outlineLevel="0" collapsed="false">
      <c r="A142" s="404"/>
      <c r="B142" s="405"/>
      <c r="C142" s="405"/>
      <c r="D142" s="405"/>
      <c r="E142" s="405"/>
      <c r="F142" s="382"/>
      <c r="G142" s="382"/>
    </row>
    <row r="143" s="402" customFormat="true" ht="12.75" hidden="false" customHeight="false" outlineLevel="0" collapsed="false">
      <c r="A143" s="407" t="s">
        <v>511</v>
      </c>
      <c r="B143" s="407"/>
      <c r="C143" s="407"/>
      <c r="D143" s="407"/>
      <c r="E143" s="407"/>
      <c r="F143" s="408"/>
      <c r="G143" s="408"/>
    </row>
    <row r="144" s="402" customFormat="true" ht="72" hidden="false" customHeight="false" outlineLevel="0" collapsed="false">
      <c r="A144" s="409" t="s">
        <v>463</v>
      </c>
      <c r="B144" s="409" t="s">
        <v>464</v>
      </c>
      <c r="C144" s="409" t="s">
        <v>512</v>
      </c>
      <c r="D144" s="410" t="s">
        <v>494</v>
      </c>
      <c r="E144" s="410" t="s">
        <v>495</v>
      </c>
      <c r="F144" s="400"/>
      <c r="G144" s="400"/>
    </row>
    <row r="145" s="402" customFormat="true" ht="12.75" hidden="false" customHeight="false" outlineLevel="0" collapsed="false">
      <c r="A145" s="390" t="s">
        <v>482</v>
      </c>
      <c r="B145" s="401" t="n">
        <v>30</v>
      </c>
      <c r="C145" s="401" t="n">
        <v>1</v>
      </c>
      <c r="D145" s="380"/>
      <c r="E145" s="381" t="n">
        <f aca="false">+(D145/B145)*C145</f>
        <v>0</v>
      </c>
      <c r="F145" s="397"/>
      <c r="G145" s="397"/>
    </row>
    <row r="146" s="402" customFormat="true" ht="12.75" hidden="false" customHeight="false" outlineLevel="0" collapsed="false">
      <c r="A146" s="390" t="s">
        <v>483</v>
      </c>
      <c r="B146" s="401" t="n">
        <v>30</v>
      </c>
      <c r="C146" s="401" t="n">
        <v>1</v>
      </c>
      <c r="D146" s="380"/>
      <c r="E146" s="381" t="n">
        <f aca="false">+(D146/B146)*C146</f>
        <v>0</v>
      </c>
      <c r="F146" s="397"/>
      <c r="G146" s="397"/>
    </row>
    <row r="147" s="402" customFormat="true" ht="12.75" hidden="false" customHeight="false" outlineLevel="0" collapsed="false">
      <c r="A147" s="390" t="s">
        <v>500</v>
      </c>
      <c r="B147" s="401" t="n">
        <v>60</v>
      </c>
      <c r="C147" s="401" t="n">
        <v>0.25</v>
      </c>
      <c r="D147" s="380"/>
      <c r="E147" s="381" t="n">
        <f aca="false">+(D147/B147)*C147</f>
        <v>0</v>
      </c>
      <c r="F147" s="397"/>
      <c r="G147" s="397"/>
    </row>
    <row r="148" s="402" customFormat="true" ht="12.75" hidden="false" customHeight="false" outlineLevel="0" collapsed="false">
      <c r="A148" s="390" t="s">
        <v>505</v>
      </c>
      <c r="B148" s="401" t="n">
        <v>36</v>
      </c>
      <c r="C148" s="401" t="n">
        <v>0.5</v>
      </c>
      <c r="D148" s="380"/>
      <c r="E148" s="381" t="n">
        <f aca="false">+(D148/B148)*C148</f>
        <v>0</v>
      </c>
      <c r="F148" s="397"/>
      <c r="G148" s="397"/>
    </row>
    <row r="149" s="402" customFormat="true" ht="12.75" hidden="false" customHeight="false" outlineLevel="0" collapsed="false">
      <c r="A149" s="390"/>
      <c r="B149" s="401"/>
      <c r="C149" s="401"/>
      <c r="D149" s="381"/>
      <c r="E149" s="381"/>
      <c r="F149" s="403" t="n">
        <f aca="false">SUM(E145:E149)</f>
        <v>0</v>
      </c>
      <c r="G149" s="397"/>
    </row>
    <row r="150" s="402" customFormat="true" ht="12.75" hidden="false" customHeight="false" outlineLevel="0" collapsed="false">
      <c r="A150" s="397"/>
      <c r="B150" s="397"/>
      <c r="C150" s="397"/>
      <c r="D150" s="397"/>
      <c r="E150" s="397"/>
      <c r="F150" s="382"/>
      <c r="G150" s="382"/>
    </row>
    <row r="151" s="402" customFormat="true" ht="12.75" hidden="false" customHeight="false" outlineLevel="0" collapsed="false">
      <c r="A151" s="390" t="s">
        <v>218</v>
      </c>
      <c r="B151" s="403" t="n">
        <f aca="false">+G141+F149</f>
        <v>0</v>
      </c>
      <c r="C151" s="411"/>
      <c r="D151" s="411"/>
      <c r="E151" s="397"/>
      <c r="F151" s="382"/>
      <c r="G151" s="382"/>
    </row>
    <row r="152" s="402" customFormat="true" ht="12.75" hidden="false" customHeight="false" outlineLevel="0" collapsed="false">
      <c r="A152" s="397"/>
      <c r="B152" s="397"/>
      <c r="C152" s="397"/>
      <c r="D152" s="397"/>
      <c r="E152" s="397"/>
      <c r="F152" s="382"/>
      <c r="G152" s="382"/>
    </row>
    <row r="153" s="402" customFormat="true" ht="33" hidden="false" customHeight="true" outlineLevel="0" collapsed="false">
      <c r="A153" s="393" t="s">
        <v>509</v>
      </c>
      <c r="B153" s="393"/>
      <c r="C153" s="393"/>
      <c r="D153" s="393"/>
      <c r="E153" s="393"/>
      <c r="F153" s="393"/>
      <c r="G153" s="393"/>
    </row>
  </sheetData>
  <mergeCells count="18">
    <mergeCell ref="A1:G1"/>
    <mergeCell ref="A14:E14"/>
    <mergeCell ref="A31:G31"/>
    <mergeCell ref="A33:G33"/>
    <mergeCell ref="A36:G36"/>
    <mergeCell ref="A49:E49"/>
    <mergeCell ref="A67:G67"/>
    <mergeCell ref="A69:G69"/>
    <mergeCell ref="A72:G72"/>
    <mergeCell ref="A85:E85"/>
    <mergeCell ref="A102:G102"/>
    <mergeCell ref="A104:G104"/>
    <mergeCell ref="A106:G106"/>
    <mergeCell ref="A119:E119"/>
    <mergeCell ref="A128:G128"/>
    <mergeCell ref="A130:G130"/>
    <mergeCell ref="A143:E143"/>
    <mergeCell ref="A153:G153"/>
  </mergeCells>
  <printOptions headings="false" gridLines="false" gridLinesSet="true" horizontalCentered="false" verticalCentered="false"/>
  <pageMargins left="0.7875" right="0.0395833333333333" top="0.354166666666667" bottom="0.510416666666667" header="0.511805555555555" footer="0.315277777777778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>&amp;C&amp;A</oddFooter>
  </headerFooter>
  <rowBreaks count="1" manualBreakCount="1">
    <brk id="128" man="true" max="16383" min="0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4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5" activeCellId="0" sqref="C35"/>
    </sheetView>
  </sheetViews>
  <sheetFormatPr defaultRowHeight="12.75" zeroHeight="false" outlineLevelRow="0" outlineLevelCol="0"/>
  <cols>
    <col collapsed="false" customWidth="true" hidden="false" outlineLevel="0" max="1" min="1" style="0" width="8.59"/>
    <col collapsed="false" customWidth="true" hidden="false" outlineLevel="0" max="2" min="2" style="0" width="18.5"/>
    <col collapsed="false" customWidth="true" hidden="false" outlineLevel="0" max="4" min="3" style="0" width="8.59"/>
    <col collapsed="false" customWidth="true" hidden="false" outlineLevel="0" max="5" min="5" style="0" width="10.75"/>
    <col collapsed="false" customWidth="true" hidden="false" outlineLevel="0" max="6" min="6" style="0" width="17.75"/>
    <col collapsed="false" customWidth="true" hidden="false" outlineLevel="0" max="7" min="7" style="0" width="8.59"/>
    <col collapsed="false" customWidth="true" hidden="false" outlineLevel="0" max="8" min="8" style="0" width="11.63"/>
    <col collapsed="false" customWidth="true" hidden="false" outlineLevel="0" max="10" min="9" style="0" width="15.13"/>
    <col collapsed="false" customWidth="true" hidden="false" outlineLevel="0" max="11" min="11" style="0" width="16.13"/>
    <col collapsed="false" customWidth="true" hidden="false" outlineLevel="0" max="12" min="12" style="0" width="17.37"/>
    <col collapsed="false" customWidth="true" hidden="false" outlineLevel="0" max="14" min="13" style="0" width="19.5"/>
    <col collapsed="false" customWidth="true" hidden="false" outlineLevel="0" max="1025" min="15" style="0" width="8.59"/>
  </cols>
  <sheetData>
    <row r="1" customFormat="false" ht="15" hidden="false" customHeight="false" outlineLevel="0" collapsed="false">
      <c r="A1" s="59" t="s">
        <v>108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customFormat="false" ht="33.75" hidden="false" customHeight="true" outlineLevel="0" collapsed="false">
      <c r="A2" s="60" t="s">
        <v>109</v>
      </c>
      <c r="B2" s="60"/>
      <c r="C2" s="61"/>
      <c r="D2" s="62" t="s">
        <v>81</v>
      </c>
      <c r="E2" s="62" t="s">
        <v>110</v>
      </c>
      <c r="F2" s="62" t="s">
        <v>83</v>
      </c>
      <c r="G2" s="62" t="s">
        <v>91</v>
      </c>
      <c r="H2" s="62" t="s">
        <v>111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3.5" hidden="false" customHeight="false" outlineLevel="0" collapsed="false">
      <c r="A3" s="64" t="s">
        <v>117</v>
      </c>
      <c r="B3" s="64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2</v>
      </c>
      <c r="H3" s="68" t="n">
        <v>4</v>
      </c>
      <c r="I3" s="69" t="n">
        <f aca="false">+J3*2</f>
        <v>0</v>
      </c>
      <c r="J3" s="69" t="n">
        <f aca="false">+'Vigilante 12X36 Diurno Arm'!$D$153</f>
        <v>0</v>
      </c>
      <c r="K3" s="70" t="n">
        <f aca="false">+J3*H3</f>
        <v>0</v>
      </c>
      <c r="L3" s="71" t="n">
        <f aca="false">+K3*12</f>
        <v>0</v>
      </c>
      <c r="M3" s="72"/>
    </row>
    <row r="4" customFormat="false" ht="12.75" hidden="false" customHeight="false" outlineLevel="0" collapsed="false">
      <c r="A4" s="64"/>
      <c r="B4" s="64"/>
      <c r="C4" s="73" t="s">
        <v>93</v>
      </c>
      <c r="D4" s="74" t="s">
        <v>94</v>
      </c>
      <c r="E4" s="74" t="s">
        <v>97</v>
      </c>
      <c r="F4" s="75" t="s">
        <v>96</v>
      </c>
      <c r="G4" s="76" t="n">
        <v>2</v>
      </c>
      <c r="H4" s="76" t="n">
        <v>4</v>
      </c>
      <c r="I4" s="77" t="n">
        <f aca="false">+J4*2</f>
        <v>0</v>
      </c>
      <c r="J4" s="77" t="n">
        <f aca="false">+'Vigilante 12x36 Noturno Arm'!$D$153</f>
        <v>0</v>
      </c>
      <c r="K4" s="78" t="n">
        <f aca="false">+J4*H4</f>
        <v>0</v>
      </c>
      <c r="L4" s="79" t="n">
        <f aca="false">+K4*12</f>
        <v>0</v>
      </c>
      <c r="M4" s="72"/>
    </row>
    <row r="5" customFormat="false" ht="13.5" hidden="false" customHeight="false" outlineLevel="0" collapsed="false">
      <c r="A5" s="64"/>
      <c r="B5" s="64"/>
      <c r="C5" s="80" t="s">
        <v>93</v>
      </c>
      <c r="D5" s="81" t="s">
        <v>99</v>
      </c>
      <c r="E5" s="81" t="s">
        <v>100</v>
      </c>
      <c r="F5" s="82" t="s">
        <v>101</v>
      </c>
      <c r="G5" s="83" t="n">
        <v>1</v>
      </c>
      <c r="H5" s="83" t="n">
        <v>1</v>
      </c>
      <c r="I5" s="84" t="n">
        <f aca="false">+J5</f>
        <v>0</v>
      </c>
      <c r="J5" s="85" t="n">
        <f aca="false">+'Vigilante 5x2 12h Arm'!$D$156</f>
        <v>0</v>
      </c>
      <c r="K5" s="85" t="n">
        <f aca="false">+J5*H5</f>
        <v>0</v>
      </c>
      <c r="L5" s="86" t="n">
        <f aca="false">+K5*12</f>
        <v>0</v>
      </c>
      <c r="M5" s="87" t="n">
        <f aca="false">+L5+L4+L3</f>
        <v>0</v>
      </c>
    </row>
    <row r="6" customFormat="false" ht="12.75" hidden="false" customHeight="true" outlineLevel="0" collapsed="false">
      <c r="A6" s="88" t="s">
        <v>118</v>
      </c>
      <c r="B6" s="88"/>
      <c r="C6" s="65" t="s">
        <v>93</v>
      </c>
      <c r="D6" s="66" t="s">
        <v>94</v>
      </c>
      <c r="E6" s="66" t="s">
        <v>95</v>
      </c>
      <c r="F6" s="67" t="s">
        <v>96</v>
      </c>
      <c r="G6" s="68" t="n">
        <v>1</v>
      </c>
      <c r="H6" s="68" t="n">
        <v>2</v>
      </c>
      <c r="I6" s="69" t="n">
        <f aca="false">+J6*2</f>
        <v>0</v>
      </c>
      <c r="J6" s="69" t="n">
        <f aca="false">+'Vigilante 12X36 Diurno Arm'!$D$153</f>
        <v>0</v>
      </c>
      <c r="K6" s="70" t="n">
        <f aca="false">+J6*H6</f>
        <v>0</v>
      </c>
      <c r="L6" s="71" t="n">
        <f aca="false">+K6*12</f>
        <v>0</v>
      </c>
      <c r="M6" s="89"/>
    </row>
    <row r="7" customFormat="false" ht="12.75" hidden="false" customHeight="false" outlineLevel="0" collapsed="false">
      <c r="A7" s="88"/>
      <c r="B7" s="88"/>
      <c r="C7" s="73" t="s">
        <v>93</v>
      </c>
      <c r="D7" s="74" t="s">
        <v>94</v>
      </c>
      <c r="E7" s="74" t="s">
        <v>97</v>
      </c>
      <c r="F7" s="75" t="s">
        <v>96</v>
      </c>
      <c r="G7" s="76" t="n">
        <v>2</v>
      </c>
      <c r="H7" s="76" t="n">
        <v>4</v>
      </c>
      <c r="I7" s="77" t="n">
        <f aca="false">+J7*2</f>
        <v>0</v>
      </c>
      <c r="J7" s="77" t="n">
        <f aca="false">+'Vigilante 12x36 Noturno Arm'!$D$153</f>
        <v>0</v>
      </c>
      <c r="K7" s="78" t="n">
        <f aca="false">+J7*H7</f>
        <v>0</v>
      </c>
      <c r="L7" s="79" t="n">
        <f aca="false">+K7*12</f>
        <v>0</v>
      </c>
      <c r="M7" s="90"/>
    </row>
    <row r="8" customFormat="false" ht="13.5" hidden="false" customHeight="false" outlineLevel="0" collapsed="false">
      <c r="A8" s="88"/>
      <c r="B8" s="88"/>
      <c r="C8" s="91" t="s">
        <v>93</v>
      </c>
      <c r="D8" s="81" t="s">
        <v>102</v>
      </c>
      <c r="E8" s="81" t="s">
        <v>103</v>
      </c>
      <c r="F8" s="82" t="s">
        <v>101</v>
      </c>
      <c r="G8" s="83" t="n">
        <v>1</v>
      </c>
      <c r="H8" s="83" t="n">
        <v>1</v>
      </c>
      <c r="I8" s="84" t="n">
        <f aca="false">+J8</f>
        <v>0</v>
      </c>
      <c r="J8" s="85" t="n">
        <f aca="false">+'Vigilante 44h Arm'!$D$155</f>
        <v>0</v>
      </c>
      <c r="K8" s="85" t="n">
        <f aca="false">+J8*H8</f>
        <v>0</v>
      </c>
      <c r="L8" s="86" t="n">
        <f aca="false">+K8*12</f>
        <v>0</v>
      </c>
      <c r="M8" s="87" t="n">
        <f aca="false">+L8+L7+L6</f>
        <v>0</v>
      </c>
    </row>
    <row r="9" customFormat="false" ht="12.75" hidden="false" customHeight="false" outlineLevel="0" collapsed="false">
      <c r="A9" s="64" t="s">
        <v>119</v>
      </c>
      <c r="B9" s="64"/>
      <c r="C9" s="65" t="s">
        <v>93</v>
      </c>
      <c r="D9" s="66" t="s">
        <v>94</v>
      </c>
      <c r="E9" s="66" t="s">
        <v>95</v>
      </c>
      <c r="F9" s="67" t="s">
        <v>96</v>
      </c>
      <c r="G9" s="68" t="n">
        <v>1</v>
      </c>
      <c r="H9" s="68" t="n">
        <v>2</v>
      </c>
      <c r="I9" s="69" t="n">
        <f aca="false">+J9*2</f>
        <v>0</v>
      </c>
      <c r="J9" s="69" t="n">
        <f aca="false">+'Vigilante 12X36 Diurno Arm'!$D$153</f>
        <v>0</v>
      </c>
      <c r="K9" s="70" t="n">
        <f aca="false">+J9*H9</f>
        <v>0</v>
      </c>
      <c r="L9" s="71" t="n">
        <f aca="false">+K9*12</f>
        <v>0</v>
      </c>
      <c r="M9" s="89"/>
    </row>
    <row r="10" customFormat="false" ht="13.5" hidden="false" customHeight="false" outlineLevel="0" collapsed="false">
      <c r="A10" s="64"/>
      <c r="B10" s="64"/>
      <c r="C10" s="80" t="s">
        <v>93</v>
      </c>
      <c r="D10" s="81" t="s">
        <v>94</v>
      </c>
      <c r="E10" s="81" t="s">
        <v>97</v>
      </c>
      <c r="F10" s="82" t="s">
        <v>96</v>
      </c>
      <c r="G10" s="83" t="n">
        <v>1</v>
      </c>
      <c r="H10" s="83" t="n">
        <v>2</v>
      </c>
      <c r="I10" s="84" t="n">
        <f aca="false">+J10*2</f>
        <v>0</v>
      </c>
      <c r="J10" s="84" t="n">
        <f aca="false">+'Vigilante 12x36 Noturno Arm'!$D$153</f>
        <v>0</v>
      </c>
      <c r="K10" s="85" t="n">
        <f aca="false">+J10*H10</f>
        <v>0</v>
      </c>
      <c r="L10" s="86" t="n">
        <f aca="false">+K10*12</f>
        <v>0</v>
      </c>
      <c r="M10" s="87" t="n">
        <f aca="false">+L10+L9</f>
        <v>0</v>
      </c>
    </row>
    <row r="11" customFormat="false" ht="13.5" hidden="false" customHeight="true" outlineLevel="0" collapsed="false">
      <c r="A11" s="88" t="s">
        <v>120</v>
      </c>
      <c r="B11" s="88"/>
      <c r="C11" s="65" t="s">
        <v>93</v>
      </c>
      <c r="D11" s="66" t="s">
        <v>94</v>
      </c>
      <c r="E11" s="66" t="s">
        <v>95</v>
      </c>
      <c r="F11" s="67" t="s">
        <v>96</v>
      </c>
      <c r="G11" s="68" t="n">
        <v>2</v>
      </c>
      <c r="H11" s="68" t="n">
        <v>4</v>
      </c>
      <c r="I11" s="69" t="n">
        <f aca="false">+J11*2</f>
        <v>0</v>
      </c>
      <c r="J11" s="69" t="n">
        <f aca="false">+'Vigilante 12X36 Diurno Arm'!$D$153</f>
        <v>0</v>
      </c>
      <c r="K11" s="70" t="n">
        <f aca="false">+J11*H11</f>
        <v>0</v>
      </c>
      <c r="L11" s="71" t="n">
        <f aca="false">+K11*12</f>
        <v>0</v>
      </c>
      <c r="M11" s="92"/>
    </row>
    <row r="12" customFormat="false" ht="12.75" hidden="false" customHeight="false" outlineLevel="0" collapsed="false">
      <c r="A12" s="88"/>
      <c r="B12" s="88"/>
      <c r="C12" s="73" t="s">
        <v>93</v>
      </c>
      <c r="D12" s="74" t="s">
        <v>94</v>
      </c>
      <c r="E12" s="74" t="s">
        <v>97</v>
      </c>
      <c r="F12" s="75" t="s">
        <v>96</v>
      </c>
      <c r="G12" s="76" t="n">
        <v>2</v>
      </c>
      <c r="H12" s="76" t="n">
        <v>4</v>
      </c>
      <c r="I12" s="77" t="n">
        <f aca="false">+J12*2</f>
        <v>0</v>
      </c>
      <c r="J12" s="77" t="n">
        <f aca="false">+'Vigilante 12x36 Noturno Arm'!$D$153</f>
        <v>0</v>
      </c>
      <c r="K12" s="78" t="n">
        <f aca="false">+J12*H12</f>
        <v>0</v>
      </c>
      <c r="L12" s="79" t="n">
        <f aca="false">+K12*12</f>
        <v>0</v>
      </c>
      <c r="M12" s="90"/>
    </row>
    <row r="13" customFormat="false" ht="13.5" hidden="false" customHeight="false" outlineLevel="0" collapsed="false">
      <c r="A13" s="88"/>
      <c r="B13" s="88"/>
      <c r="C13" s="80" t="s">
        <v>93</v>
      </c>
      <c r="D13" s="81" t="s">
        <v>99</v>
      </c>
      <c r="E13" s="81" t="s">
        <v>100</v>
      </c>
      <c r="F13" s="82" t="s">
        <v>101</v>
      </c>
      <c r="G13" s="83" t="n">
        <v>3</v>
      </c>
      <c r="H13" s="83" t="n">
        <v>3</v>
      </c>
      <c r="I13" s="84" t="n">
        <f aca="false">+J13</f>
        <v>0</v>
      </c>
      <c r="J13" s="85" t="n">
        <f aca="false">+'Vigilante 5x2 12h Arm'!$D$156</f>
        <v>0</v>
      </c>
      <c r="K13" s="85" t="n">
        <f aca="false">+J13*H13</f>
        <v>0</v>
      </c>
      <c r="L13" s="86" t="n">
        <f aca="false">+K13*12</f>
        <v>0</v>
      </c>
      <c r="M13" s="87" t="n">
        <f aca="false">+L13+L12+L11</f>
        <v>0</v>
      </c>
    </row>
    <row r="14" customFormat="false" ht="12.75" hidden="false" customHeight="true" outlineLevel="0" collapsed="false">
      <c r="A14" s="88" t="s">
        <v>121</v>
      </c>
      <c r="B14" s="88"/>
      <c r="C14" s="65" t="s">
        <v>93</v>
      </c>
      <c r="D14" s="66" t="s">
        <v>94</v>
      </c>
      <c r="E14" s="66" t="s">
        <v>95</v>
      </c>
      <c r="F14" s="67" t="s">
        <v>96</v>
      </c>
      <c r="G14" s="68" t="n">
        <v>2</v>
      </c>
      <c r="H14" s="68" t="n">
        <v>4</v>
      </c>
      <c r="I14" s="69" t="n">
        <f aca="false">+J14*2</f>
        <v>0</v>
      </c>
      <c r="J14" s="69" t="n">
        <f aca="false">+'Vigilante 12X36 Diurno Arm'!$D$153</f>
        <v>0</v>
      </c>
      <c r="K14" s="70" t="n">
        <f aca="false">+J14*H14</f>
        <v>0</v>
      </c>
      <c r="L14" s="71" t="n">
        <f aca="false">+K14*12</f>
        <v>0</v>
      </c>
      <c r="M14" s="89"/>
    </row>
    <row r="15" customFormat="false" ht="12.75" hidden="false" customHeight="true" outlineLevel="0" collapsed="false">
      <c r="A15" s="88"/>
      <c r="B15" s="88"/>
      <c r="C15" s="80" t="s">
        <v>93</v>
      </c>
      <c r="D15" s="81" t="s">
        <v>94</v>
      </c>
      <c r="E15" s="81" t="s">
        <v>97</v>
      </c>
      <c r="F15" s="82" t="s">
        <v>96</v>
      </c>
      <c r="G15" s="83" t="n">
        <v>2</v>
      </c>
      <c r="H15" s="83" t="n">
        <v>4</v>
      </c>
      <c r="I15" s="84" t="n">
        <f aca="false">+J15*2</f>
        <v>0</v>
      </c>
      <c r="J15" s="84" t="n">
        <f aca="false">+'Vigilante 12x36 Noturno Arm'!$D$153</f>
        <v>0</v>
      </c>
      <c r="K15" s="93" t="n">
        <f aca="false">+J15*H15</f>
        <v>0</v>
      </c>
      <c r="L15" s="94" t="n">
        <f aca="false">+K15*12</f>
        <v>0</v>
      </c>
      <c r="M15" s="87" t="n">
        <f aca="false">+L15+L14</f>
        <v>0</v>
      </c>
    </row>
    <row r="16" customFormat="false" ht="12.75" hidden="false" customHeight="true" outlineLevel="0" collapsed="false">
      <c r="A16" s="64" t="s">
        <v>122</v>
      </c>
      <c r="B16" s="64"/>
      <c r="C16" s="95" t="s">
        <v>93</v>
      </c>
      <c r="D16" s="96" t="s">
        <v>94</v>
      </c>
      <c r="E16" s="96" t="s">
        <v>95</v>
      </c>
      <c r="F16" s="97" t="s">
        <v>96</v>
      </c>
      <c r="G16" s="98" t="n">
        <v>1</v>
      </c>
      <c r="H16" s="98" t="n">
        <v>2</v>
      </c>
      <c r="I16" s="99" t="n">
        <f aca="false">+J16*2</f>
        <v>0</v>
      </c>
      <c r="J16" s="99" t="n">
        <f aca="false">+'Vigilante 12X36 Diurno Arm'!$D$153</f>
        <v>0</v>
      </c>
      <c r="K16" s="93" t="n">
        <f aca="false">+J16*H16</f>
        <v>0</v>
      </c>
      <c r="L16" s="94" t="n">
        <f aca="false">+K16*12</f>
        <v>0</v>
      </c>
      <c r="M16" s="100" t="n">
        <f aca="false">+L16</f>
        <v>0</v>
      </c>
    </row>
    <row r="17" customFormat="false" ht="12.75" hidden="false" customHeight="false" outlineLevel="0" collapsed="false">
      <c r="A17" s="64" t="s">
        <v>123</v>
      </c>
      <c r="B17" s="64"/>
      <c r="C17" s="65" t="s">
        <v>93</v>
      </c>
      <c r="D17" s="66" t="s">
        <v>94</v>
      </c>
      <c r="E17" s="66" t="s">
        <v>95</v>
      </c>
      <c r="F17" s="67" t="s">
        <v>96</v>
      </c>
      <c r="G17" s="68" t="n">
        <v>2</v>
      </c>
      <c r="H17" s="68" t="n">
        <v>4</v>
      </c>
      <c r="I17" s="69" t="n">
        <f aca="false">+J17*2</f>
        <v>0</v>
      </c>
      <c r="J17" s="69" t="n">
        <f aca="false">+'Vigilante 12X36 Diurno Arm'!$D$153</f>
        <v>0</v>
      </c>
      <c r="K17" s="70" t="n">
        <f aca="false">+J17*H17</f>
        <v>0</v>
      </c>
      <c r="L17" s="71" t="n">
        <f aca="false">+K17*12</f>
        <v>0</v>
      </c>
      <c r="M17" s="92"/>
    </row>
    <row r="18" customFormat="false" ht="12.75" hidden="false" customHeight="true" outlineLevel="0" collapsed="false">
      <c r="A18" s="64"/>
      <c r="B18" s="64"/>
      <c r="C18" s="80" t="s">
        <v>93</v>
      </c>
      <c r="D18" s="81" t="s">
        <v>94</v>
      </c>
      <c r="E18" s="81" t="s">
        <v>97</v>
      </c>
      <c r="F18" s="82" t="s">
        <v>96</v>
      </c>
      <c r="G18" s="83" t="n">
        <v>2</v>
      </c>
      <c r="H18" s="83" t="n">
        <v>4</v>
      </c>
      <c r="I18" s="84" t="n">
        <f aca="false">+J18*2</f>
        <v>0</v>
      </c>
      <c r="J18" s="84" t="n">
        <f aca="false">+'Vigilante 12x36 Noturno Arm'!$D$153</f>
        <v>0</v>
      </c>
      <c r="K18" s="85" t="n">
        <f aca="false">+J18*H18</f>
        <v>0</v>
      </c>
      <c r="L18" s="86" t="n">
        <f aca="false">+K18*12</f>
        <v>0</v>
      </c>
      <c r="M18" s="87" t="n">
        <f aca="false">+L18+L17</f>
        <v>0</v>
      </c>
    </row>
    <row r="19" customFormat="false" ht="13.5" hidden="false" customHeight="false" outlineLevel="0" collapsed="false">
      <c r="G19" s="101" t="n">
        <f aca="false">SUM(G3:G18)</f>
        <v>27</v>
      </c>
      <c r="H19" s="101" t="n">
        <f aca="false">SUM(H3:H18)</f>
        <v>49</v>
      </c>
      <c r="K19" s="102" t="n">
        <f aca="false">SUM(K3:K18)</f>
        <v>0</v>
      </c>
      <c r="L19" s="102" t="n">
        <f aca="false">SUM(L3:L18)</f>
        <v>0</v>
      </c>
      <c r="M19" s="103"/>
    </row>
    <row r="21" customFormat="false" ht="60.75" hidden="false" customHeight="false" outlineLevel="0" collapsed="false">
      <c r="D21" s="104" t="s">
        <v>81</v>
      </c>
      <c r="E21" s="105" t="s">
        <v>110</v>
      </c>
      <c r="F21" s="106" t="s">
        <v>83</v>
      </c>
      <c r="G21" s="106" t="s">
        <v>91</v>
      </c>
      <c r="H21" s="107" t="s">
        <v>92</v>
      </c>
    </row>
    <row r="22" s="34" customFormat="true" ht="12.75" hidden="false" customHeight="false" outlineLevel="0" collapsed="false">
      <c r="C22" s="65" t="s">
        <v>93</v>
      </c>
      <c r="D22" s="66" t="s">
        <v>94</v>
      </c>
      <c r="E22" s="66" t="s">
        <v>95</v>
      </c>
      <c r="F22" s="75" t="s">
        <v>96</v>
      </c>
      <c r="G22" s="108" t="n">
        <f aca="false">+G3+G6+G9+G11+G14+G16+G17</f>
        <v>11</v>
      </c>
      <c r="H22" s="109" t="n">
        <f aca="false">+G22*2</f>
        <v>22</v>
      </c>
    </row>
    <row r="23" s="34" customFormat="true" ht="12.75" hidden="false" customHeight="false" outlineLevel="0" collapsed="false">
      <c r="C23" s="73" t="s">
        <v>93</v>
      </c>
      <c r="D23" s="74" t="s">
        <v>94</v>
      </c>
      <c r="E23" s="74" t="s">
        <v>97</v>
      </c>
      <c r="F23" s="75" t="s">
        <v>96</v>
      </c>
      <c r="G23" s="110" t="n">
        <f aca="false">+G4+G7+G10+G12+G15+G18</f>
        <v>11</v>
      </c>
      <c r="H23" s="111" t="n">
        <f aca="false">+G23*2</f>
        <v>22</v>
      </c>
    </row>
    <row r="24" s="34" customFormat="true" ht="12.75" hidden="false" customHeight="false" outlineLevel="0" collapsed="false">
      <c r="C24" s="73" t="s">
        <v>93</v>
      </c>
      <c r="D24" s="74" t="s">
        <v>99</v>
      </c>
      <c r="E24" s="74" t="s">
        <v>100</v>
      </c>
      <c r="F24" s="75" t="s">
        <v>101</v>
      </c>
      <c r="G24" s="110" t="n">
        <f aca="false">+G5+G13</f>
        <v>4</v>
      </c>
      <c r="H24" s="110" t="n">
        <f aca="false">+H5+H13</f>
        <v>4</v>
      </c>
    </row>
    <row r="25" s="34" customFormat="true" ht="4.5" hidden="false" customHeight="true" outlineLevel="0" collapsed="false"/>
    <row r="26" s="34" customFormat="true" ht="12.75" hidden="false" customHeight="false" outlineLevel="0" collapsed="false">
      <c r="C26" s="112" t="s">
        <v>93</v>
      </c>
      <c r="D26" s="113" t="s">
        <v>102</v>
      </c>
      <c r="E26" s="113" t="s">
        <v>103</v>
      </c>
      <c r="F26" s="114" t="s">
        <v>101</v>
      </c>
      <c r="G26" s="115" t="n">
        <f aca="false">+G8</f>
        <v>1</v>
      </c>
      <c r="H26" s="115" t="n">
        <f aca="false">+H8</f>
        <v>1</v>
      </c>
      <c r="K26" s="116"/>
    </row>
    <row r="27" customFormat="false" ht="12.75" hidden="false" customHeight="false" outlineLevel="0" collapsed="false">
      <c r="G27" s="117" t="n">
        <f aca="false">SUM(G22:G26)</f>
        <v>27</v>
      </c>
      <c r="H27" s="117" t="n">
        <f aca="false">SUM(H22:H26)</f>
        <v>49</v>
      </c>
      <c r="K27" s="118"/>
    </row>
    <row r="28" customFormat="false" ht="12.75" hidden="false" customHeight="false" outlineLevel="0" collapsed="false">
      <c r="K28" s="118"/>
    </row>
    <row r="29" customFormat="false" ht="13.5" hidden="false" customHeight="false" outlineLevel="0" collapsed="false"/>
    <row r="30" customFormat="false" ht="12.75" hidden="false" customHeight="true" outlineLevel="0" collapsed="false">
      <c r="A30" s="119" t="s">
        <v>27</v>
      </c>
      <c r="B30" s="119"/>
      <c r="C30" s="119"/>
      <c r="D30" s="119"/>
      <c r="E30" s="119"/>
      <c r="F30" s="119"/>
      <c r="G30" s="119"/>
      <c r="H30" s="120" t="s">
        <v>28</v>
      </c>
      <c r="I30" s="121" t="s">
        <v>29</v>
      </c>
      <c r="J30" s="121"/>
      <c r="K30" s="122" t="s">
        <v>112</v>
      </c>
      <c r="L30" s="122" t="s">
        <v>113</v>
      </c>
      <c r="M30" s="122" t="s">
        <v>124</v>
      </c>
      <c r="N30" s="123" t="s">
        <v>125</v>
      </c>
    </row>
    <row r="31" customFormat="false" ht="23.25" hidden="false" customHeight="true" outlineLevel="0" collapsed="false">
      <c r="A31" s="119"/>
      <c r="B31" s="119"/>
      <c r="C31" s="119"/>
      <c r="D31" s="119"/>
      <c r="E31" s="119"/>
      <c r="F31" s="119"/>
      <c r="G31" s="119"/>
      <c r="H31" s="120"/>
      <c r="I31" s="124" t="s">
        <v>31</v>
      </c>
      <c r="J31" s="124" t="s">
        <v>32</v>
      </c>
      <c r="K31" s="122"/>
      <c r="L31" s="122"/>
      <c r="M31" s="122"/>
      <c r="N31" s="123"/>
    </row>
    <row r="32" s="127" customFormat="true" ht="27" hidden="false" customHeight="true" outlineLevel="0" collapsed="false">
      <c r="A32" s="20" t="s">
        <v>35</v>
      </c>
      <c r="B32" s="21" t="s">
        <v>36</v>
      </c>
      <c r="C32" s="21" t="s">
        <v>126</v>
      </c>
      <c r="D32" s="21"/>
      <c r="E32" s="21"/>
      <c r="F32" s="21"/>
      <c r="G32" s="21"/>
      <c r="H32" s="21" t="s">
        <v>38</v>
      </c>
      <c r="I32" s="125" t="n">
        <f aca="false">+G22</f>
        <v>11</v>
      </c>
      <c r="J32" s="125" t="n">
        <f aca="false">+H22</f>
        <v>22</v>
      </c>
      <c r="K32" s="77" t="n">
        <f aca="false">+L32*2</f>
        <v>0</v>
      </c>
      <c r="L32" s="77" t="n">
        <f aca="false">+'Vigilante 12X36 Diurno Arm'!$D$153</f>
        <v>0</v>
      </c>
      <c r="M32" s="126" t="n">
        <f aca="false">+L32*J32</f>
        <v>0</v>
      </c>
      <c r="N32" s="126" t="n">
        <f aca="false">+M32*12</f>
        <v>0</v>
      </c>
    </row>
    <row r="33" s="127" customFormat="true" ht="27" hidden="false" customHeight="true" outlineLevel="0" collapsed="false">
      <c r="A33" s="20"/>
      <c r="B33" s="21" t="s">
        <v>39</v>
      </c>
      <c r="C33" s="21" t="s">
        <v>127</v>
      </c>
      <c r="D33" s="21"/>
      <c r="E33" s="21"/>
      <c r="F33" s="21"/>
      <c r="G33" s="21"/>
      <c r="H33" s="21" t="s">
        <v>38</v>
      </c>
      <c r="I33" s="125" t="n">
        <f aca="false">+G23</f>
        <v>11</v>
      </c>
      <c r="J33" s="125" t="n">
        <f aca="false">+H23</f>
        <v>22</v>
      </c>
      <c r="K33" s="77" t="n">
        <f aca="false">+L33*2</f>
        <v>0</v>
      </c>
      <c r="L33" s="77" t="n">
        <f aca="false">+'Vigilante 12x36 Noturno Arm'!$D$153</f>
        <v>0</v>
      </c>
      <c r="M33" s="126" t="n">
        <f aca="false">+L33*J33</f>
        <v>0</v>
      </c>
      <c r="N33" s="126" t="n">
        <f aca="false">+M33*12</f>
        <v>0</v>
      </c>
    </row>
    <row r="34" s="127" customFormat="true" ht="27" hidden="false" customHeight="true" outlineLevel="0" collapsed="false">
      <c r="A34" s="20"/>
      <c r="B34" s="21" t="s">
        <v>41</v>
      </c>
      <c r="C34" s="21" t="s">
        <v>42</v>
      </c>
      <c r="D34" s="21"/>
      <c r="E34" s="21"/>
      <c r="F34" s="21"/>
      <c r="G34" s="21"/>
      <c r="H34" s="21" t="s">
        <v>43</v>
      </c>
      <c r="I34" s="125" t="n">
        <f aca="false">+G24</f>
        <v>4</v>
      </c>
      <c r="J34" s="125" t="n">
        <f aca="false">+H24</f>
        <v>4</v>
      </c>
      <c r="K34" s="77" t="n">
        <f aca="false">+L34</f>
        <v>0</v>
      </c>
      <c r="L34" s="77" t="n">
        <f aca="false">+'Vigilante 5x2 12h Arm'!$D$156</f>
        <v>0</v>
      </c>
      <c r="M34" s="126" t="n">
        <f aca="false">+L34*J34</f>
        <v>0</v>
      </c>
      <c r="N34" s="126" t="n">
        <f aca="false">+M34*12</f>
        <v>0</v>
      </c>
    </row>
    <row r="35" s="127" customFormat="true" ht="27" hidden="false" customHeight="true" outlineLevel="0" collapsed="false">
      <c r="A35" s="20"/>
      <c r="B35" s="21" t="s">
        <v>44</v>
      </c>
      <c r="C35" s="21" t="s">
        <v>45</v>
      </c>
      <c r="D35" s="21"/>
      <c r="E35" s="21"/>
      <c r="F35" s="21"/>
      <c r="G35" s="21"/>
      <c r="H35" s="21" t="s">
        <v>43</v>
      </c>
      <c r="I35" s="128" t="n">
        <f aca="false">+G26</f>
        <v>1</v>
      </c>
      <c r="J35" s="128" t="n">
        <f aca="false">+H26</f>
        <v>1</v>
      </c>
      <c r="K35" s="129" t="n">
        <f aca="false">+L35</f>
        <v>0</v>
      </c>
      <c r="L35" s="129" t="n">
        <f aca="false">+'Vigilante 44h Arm'!$D$155</f>
        <v>0</v>
      </c>
      <c r="M35" s="78" t="n">
        <f aca="false">+L35*J35</f>
        <v>0</v>
      </c>
      <c r="N35" s="78" t="n">
        <f aca="false">+M35*12</f>
        <v>0</v>
      </c>
    </row>
    <row r="36" customFormat="false" ht="12.75" hidden="false" customHeight="false" outlineLevel="0" collapsed="false">
      <c r="I36" s="117" t="n">
        <f aca="false">SUM(I32:I34)</f>
        <v>26</v>
      </c>
      <c r="J36" s="117" t="n">
        <f aca="false">SUM(J32:J34)</f>
        <v>48</v>
      </c>
      <c r="M36" s="130" t="n">
        <f aca="false">SUM(M32:M35)</f>
        <v>0</v>
      </c>
      <c r="N36" s="130" t="n">
        <f aca="false">SUM(N32:N35)</f>
        <v>0</v>
      </c>
    </row>
    <row r="42" customFormat="false" ht="15" hidden="false" customHeight="true" outlineLevel="0" collapsed="false"/>
  </sheetData>
  <mergeCells count="21">
    <mergeCell ref="A1:M1"/>
    <mergeCell ref="A2:B2"/>
    <mergeCell ref="A3:B5"/>
    <mergeCell ref="A6:B8"/>
    <mergeCell ref="A9:B10"/>
    <mergeCell ref="A11:B13"/>
    <mergeCell ref="A14:B15"/>
    <mergeCell ref="A16:B16"/>
    <mergeCell ref="A17:B18"/>
    <mergeCell ref="A30:G31"/>
    <mergeCell ref="H30:H31"/>
    <mergeCell ref="I30:J30"/>
    <mergeCell ref="K30:K31"/>
    <mergeCell ref="L30:L31"/>
    <mergeCell ref="M30:M31"/>
    <mergeCell ref="N30:N31"/>
    <mergeCell ref="A32:A35"/>
    <mergeCell ref="C32:G32"/>
    <mergeCell ref="C33:G33"/>
    <mergeCell ref="C34:G34"/>
    <mergeCell ref="C35:G35"/>
  </mergeCells>
  <printOptions headings="false" gridLines="false" gridLinesSet="true" horizontalCentered="false" verticalCentered="false"/>
  <pageMargins left="0.0701388888888889" right="0.0784722222222222" top="0.7875" bottom="0.3" header="0.511805555555555" footer="0.120138888888889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4" activeCellId="0" sqref="E24"/>
    </sheetView>
  </sheetViews>
  <sheetFormatPr defaultRowHeight="12.75" zeroHeight="false" outlineLevelRow="0" outlineLevelCol="0"/>
  <cols>
    <col collapsed="false" customWidth="true" hidden="false" outlineLevel="0" max="1" min="1" style="0" width="8.25"/>
    <col collapsed="false" customWidth="true" hidden="false" outlineLevel="0" max="2" min="2" style="0" width="29.63"/>
    <col collapsed="false" customWidth="true" hidden="false" outlineLevel="0" max="4" min="3" style="0" width="8.59"/>
    <col collapsed="false" customWidth="true" hidden="false" outlineLevel="0" max="5" min="5" style="0" width="12.88"/>
    <col collapsed="false" customWidth="true" hidden="false" outlineLevel="0" max="6" min="6" style="0" width="17.63"/>
    <col collapsed="false" customWidth="true" hidden="false" outlineLevel="0" max="7" min="7" style="0" width="8.59"/>
    <col collapsed="false" customWidth="true" hidden="false" outlineLevel="0" max="8" min="8" style="0" width="11.75"/>
    <col collapsed="false" customWidth="true" hidden="false" outlineLevel="0" max="10" min="9" style="0" width="12"/>
    <col collapsed="false" customWidth="true" hidden="false" outlineLevel="0" max="11" min="11" style="0" width="16.13"/>
    <col collapsed="false" customWidth="true" hidden="false" outlineLevel="0" max="12" min="12" style="0" width="17.75"/>
    <col collapsed="false" customWidth="true" hidden="false" outlineLevel="0" max="13" min="13" style="0" width="17.63"/>
    <col collapsed="false" customWidth="true" hidden="false" outlineLevel="0" max="14" min="14" style="0" width="17.75"/>
    <col collapsed="false" customWidth="true" hidden="false" outlineLevel="0" max="15" min="15" style="0" width="12"/>
    <col collapsed="false" customWidth="true" hidden="false" outlineLevel="0" max="1025" min="16" style="0" width="8.59"/>
  </cols>
  <sheetData>
    <row r="1" customFormat="false" ht="15" hidden="false" customHeight="true" outlineLevel="0" collapsed="false">
      <c r="B1" s="131" t="s">
        <v>128</v>
      </c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</row>
    <row r="2" customFormat="false" ht="45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2.75" hidden="false" customHeight="true" outlineLevel="0" collapsed="false">
      <c r="A3" s="135" t="s">
        <v>129</v>
      </c>
      <c r="B3" s="135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5</v>
      </c>
      <c r="H3" s="68" t="n">
        <v>10</v>
      </c>
      <c r="I3" s="70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2.75" hidden="false" customHeight="false" outlineLevel="0" collapsed="false">
      <c r="A4" s="135"/>
      <c r="B4" s="135"/>
      <c r="C4" s="73" t="s">
        <v>93</v>
      </c>
      <c r="D4" s="74" t="s">
        <v>94</v>
      </c>
      <c r="E4" s="74" t="s">
        <v>97</v>
      </c>
      <c r="F4" s="75" t="s">
        <v>96</v>
      </c>
      <c r="G4" s="76" t="n">
        <v>5</v>
      </c>
      <c r="H4" s="76" t="n">
        <v>10</v>
      </c>
      <c r="I4" s="78" t="n">
        <f aca="false">+J4*2</f>
        <v>0</v>
      </c>
      <c r="J4" s="129" t="n">
        <f aca="false">+'Vigilante 12x36 Noturno Arm'!$D$153</f>
        <v>0</v>
      </c>
      <c r="K4" s="78" t="n">
        <f aca="false">+J4*H4</f>
        <v>0</v>
      </c>
      <c r="L4" s="78" t="n">
        <f aca="false">+K4*12</f>
        <v>0</v>
      </c>
      <c r="M4" s="138"/>
    </row>
    <row r="5" customFormat="false" ht="13.5" hidden="false" customHeight="false" outlineLevel="0" collapsed="false">
      <c r="A5" s="135"/>
      <c r="B5" s="135"/>
      <c r="C5" s="80" t="s">
        <v>93</v>
      </c>
      <c r="D5" s="81" t="s">
        <v>99</v>
      </c>
      <c r="E5" s="81" t="s">
        <v>100</v>
      </c>
      <c r="F5" s="82" t="s">
        <v>101</v>
      </c>
      <c r="G5" s="83" t="n">
        <v>6</v>
      </c>
      <c r="H5" s="83" t="n">
        <v>6</v>
      </c>
      <c r="I5" s="85" t="n">
        <f aca="false">+J5*1</f>
        <v>0</v>
      </c>
      <c r="J5" s="139" t="n">
        <f aca="false">+'Vigilante 5x2 12h Arm'!$D$156</f>
        <v>0</v>
      </c>
      <c r="K5" s="85" t="n">
        <f aca="false">+J5*H5</f>
        <v>0</v>
      </c>
      <c r="L5" s="85" t="n">
        <f aca="false">+K5*12</f>
        <v>0</v>
      </c>
      <c r="M5" s="140" t="n">
        <f aca="false">+L5+L4+L3</f>
        <v>0</v>
      </c>
    </row>
    <row r="6" customFormat="false" ht="12.75" hidden="false" customHeight="true" outlineLevel="0" collapsed="false">
      <c r="A6" s="135" t="s">
        <v>130</v>
      </c>
      <c r="B6" s="135"/>
      <c r="C6" s="65" t="s">
        <v>93</v>
      </c>
      <c r="D6" s="66" t="s">
        <v>94</v>
      </c>
      <c r="E6" s="66" t="s">
        <v>95</v>
      </c>
      <c r="F6" s="67" t="s">
        <v>96</v>
      </c>
      <c r="G6" s="68" t="n">
        <v>3</v>
      </c>
      <c r="H6" s="68" t="n">
        <v>6</v>
      </c>
      <c r="I6" s="70" t="n">
        <f aca="false">+J6*2</f>
        <v>0</v>
      </c>
      <c r="J6" s="136" t="n">
        <f aca="false">+'Vigilante 12X36 Diurno Arm'!$D$153</f>
        <v>0</v>
      </c>
      <c r="K6" s="70" t="n">
        <f aca="false">+J6*H6</f>
        <v>0</v>
      </c>
      <c r="L6" s="70" t="n">
        <f aca="false">+K6*12</f>
        <v>0</v>
      </c>
      <c r="M6" s="141"/>
    </row>
    <row r="7" customFormat="false" ht="12.75" hidden="false" customHeight="false" outlineLevel="0" collapsed="false">
      <c r="A7" s="135"/>
      <c r="B7" s="135"/>
      <c r="C7" s="142" t="s">
        <v>93</v>
      </c>
      <c r="D7" s="143" t="s">
        <v>94</v>
      </c>
      <c r="E7" s="143" t="s">
        <v>97</v>
      </c>
      <c r="F7" s="144" t="s">
        <v>96</v>
      </c>
      <c r="G7" s="145" t="n">
        <v>3</v>
      </c>
      <c r="H7" s="145" t="n">
        <v>6</v>
      </c>
      <c r="I7" s="146" t="n">
        <f aca="false">+J7*2</f>
        <v>0</v>
      </c>
      <c r="J7" s="147" t="n">
        <f aca="false">+'Vigilante 12x36 Noturno Arm'!$D$153</f>
        <v>0</v>
      </c>
      <c r="K7" s="146" t="n">
        <f aca="false">+J7*H7</f>
        <v>0</v>
      </c>
      <c r="L7" s="146" t="n">
        <f aca="false">+K7*12</f>
        <v>0</v>
      </c>
      <c r="M7" s="148"/>
    </row>
    <row r="8" customFormat="false" ht="13.5" hidden="false" customHeight="false" outlineLevel="0" collapsed="false">
      <c r="A8" s="135"/>
      <c r="B8" s="135"/>
      <c r="C8" s="80" t="s">
        <v>93</v>
      </c>
      <c r="D8" s="81" t="s">
        <v>102</v>
      </c>
      <c r="E8" s="81" t="s">
        <v>103</v>
      </c>
      <c r="F8" s="82" t="s">
        <v>101</v>
      </c>
      <c r="G8" s="83" t="n">
        <v>1</v>
      </c>
      <c r="H8" s="83" t="n">
        <v>1</v>
      </c>
      <c r="I8" s="85" t="n">
        <f aca="false">+J8*1</f>
        <v>0</v>
      </c>
      <c r="J8" s="139" t="n">
        <f aca="false">+'Vigilante 44h Arm'!$D$155</f>
        <v>0</v>
      </c>
      <c r="K8" s="85" t="n">
        <f aca="false">+J8*H8</f>
        <v>0</v>
      </c>
      <c r="L8" s="85" t="n">
        <f aca="false">+K8*12</f>
        <v>0</v>
      </c>
      <c r="M8" s="140" t="n">
        <f aca="false">+L8+L7+L6</f>
        <v>0</v>
      </c>
    </row>
    <row r="9" customFormat="false" ht="12.75" hidden="false" customHeight="true" outlineLevel="0" collapsed="false">
      <c r="A9" s="135" t="s">
        <v>131</v>
      </c>
      <c r="B9" s="135"/>
      <c r="C9" s="65" t="s">
        <v>93</v>
      </c>
      <c r="D9" s="66" t="s">
        <v>94</v>
      </c>
      <c r="E9" s="66" t="s">
        <v>95</v>
      </c>
      <c r="F9" s="67" t="s">
        <v>96</v>
      </c>
      <c r="G9" s="68" t="n">
        <v>1</v>
      </c>
      <c r="H9" s="68" t="n">
        <v>2</v>
      </c>
      <c r="I9" s="70" t="n">
        <f aca="false">+J9*2</f>
        <v>0</v>
      </c>
      <c r="J9" s="136" t="n">
        <f aca="false">+'Vigilante 12X36 Diurno Arm'!$D$153</f>
        <v>0</v>
      </c>
      <c r="K9" s="70" t="n">
        <f aca="false">+J9*H9</f>
        <v>0</v>
      </c>
      <c r="L9" s="70" t="n">
        <f aca="false">+K9*12</f>
        <v>0</v>
      </c>
      <c r="M9" s="137"/>
    </row>
    <row r="10" customFormat="false" ht="12.75" hidden="false" customHeight="false" outlineLevel="0" collapsed="false">
      <c r="A10" s="135"/>
      <c r="B10" s="135"/>
      <c r="C10" s="73" t="s">
        <v>93</v>
      </c>
      <c r="D10" s="74" t="s">
        <v>94</v>
      </c>
      <c r="E10" s="74" t="s">
        <v>97</v>
      </c>
      <c r="F10" s="75" t="s">
        <v>96</v>
      </c>
      <c r="G10" s="76" t="n">
        <v>1</v>
      </c>
      <c r="H10" s="76" t="n">
        <v>2</v>
      </c>
      <c r="I10" s="78" t="n">
        <f aca="false">+J10*2</f>
        <v>0</v>
      </c>
      <c r="J10" s="129" t="n">
        <f aca="false">+'Vigilante 12x36 Noturno Arm'!$D$153</f>
        <v>0</v>
      </c>
      <c r="K10" s="78" t="n">
        <f aca="false">+J10*H10</f>
        <v>0</v>
      </c>
      <c r="L10" s="78" t="n">
        <f aca="false">+K10*12</f>
        <v>0</v>
      </c>
      <c r="M10" s="138"/>
    </row>
    <row r="11" customFormat="false" ht="13.5" hidden="false" customHeight="false" outlineLevel="0" collapsed="false">
      <c r="A11" s="135"/>
      <c r="B11" s="135"/>
      <c r="C11" s="149" t="s">
        <v>93</v>
      </c>
      <c r="D11" s="150" t="s">
        <v>99</v>
      </c>
      <c r="E11" s="150" t="s">
        <v>100</v>
      </c>
      <c r="F11" s="151" t="s">
        <v>101</v>
      </c>
      <c r="G11" s="152" t="n">
        <v>2</v>
      </c>
      <c r="H11" s="152" t="n">
        <v>2</v>
      </c>
      <c r="I11" s="153" t="n">
        <f aca="false">+J11*1</f>
        <v>0</v>
      </c>
      <c r="J11" s="154" t="n">
        <f aca="false">+'Vigilante 5x2 12h Arm'!$D$156</f>
        <v>0</v>
      </c>
      <c r="K11" s="153" t="n">
        <f aca="false">+J11*H11</f>
        <v>0</v>
      </c>
      <c r="L11" s="153" t="n">
        <f aca="false">+K11*12</f>
        <v>0</v>
      </c>
      <c r="M11" s="155" t="n">
        <f aca="false">+L11+L10+L9</f>
        <v>0</v>
      </c>
    </row>
    <row r="12" customFormat="false" ht="13.5" hidden="false" customHeight="true" outlineLevel="0" collapsed="false">
      <c r="A12" s="135" t="s">
        <v>132</v>
      </c>
      <c r="B12" s="135"/>
      <c r="C12" s="65" t="s">
        <v>93</v>
      </c>
      <c r="D12" s="66" t="s">
        <v>94</v>
      </c>
      <c r="E12" s="66" t="s">
        <v>95</v>
      </c>
      <c r="F12" s="67" t="s">
        <v>96</v>
      </c>
      <c r="G12" s="68" t="n">
        <v>1</v>
      </c>
      <c r="H12" s="68" t="n">
        <v>2</v>
      </c>
      <c r="I12" s="70" t="n">
        <f aca="false">+J12*2</f>
        <v>0</v>
      </c>
      <c r="J12" s="136" t="n">
        <f aca="false">+'Vigilante 12X36 Diurno Arm'!$D$153</f>
        <v>0</v>
      </c>
      <c r="K12" s="70" t="n">
        <f aca="false">+J12*H12</f>
        <v>0</v>
      </c>
      <c r="L12" s="70" t="n">
        <f aca="false">+K12*12</f>
        <v>0</v>
      </c>
      <c r="M12" s="137"/>
    </row>
    <row r="13" customFormat="false" ht="13.5" hidden="false" customHeight="false" outlineLevel="0" collapsed="false">
      <c r="A13" s="135"/>
      <c r="B13" s="135"/>
      <c r="C13" s="149" t="s">
        <v>93</v>
      </c>
      <c r="D13" s="150" t="s">
        <v>94</v>
      </c>
      <c r="E13" s="150" t="s">
        <v>97</v>
      </c>
      <c r="F13" s="151" t="s">
        <v>96</v>
      </c>
      <c r="G13" s="152" t="n">
        <v>1</v>
      </c>
      <c r="H13" s="152" t="n">
        <v>2</v>
      </c>
      <c r="I13" s="153" t="n">
        <f aca="false">+J13*2</f>
        <v>0</v>
      </c>
      <c r="J13" s="154" t="n">
        <f aca="false">+'Vigilante 12x36 Noturno Arm'!$D$153</f>
        <v>0</v>
      </c>
      <c r="K13" s="153" t="n">
        <f aca="false">+J13*H13</f>
        <v>0</v>
      </c>
      <c r="L13" s="153" t="n">
        <f aca="false">+K13*12</f>
        <v>0</v>
      </c>
      <c r="M13" s="155" t="n">
        <f aca="false">+L13+L12</f>
        <v>0</v>
      </c>
    </row>
    <row r="14" customFormat="false" ht="13.5" hidden="false" customHeight="true" outlineLevel="0" collapsed="false">
      <c r="A14" s="135" t="s">
        <v>133</v>
      </c>
      <c r="B14" s="135"/>
      <c r="C14" s="65" t="s">
        <v>93</v>
      </c>
      <c r="D14" s="66" t="s">
        <v>94</v>
      </c>
      <c r="E14" s="66" t="s">
        <v>95</v>
      </c>
      <c r="F14" s="67" t="s">
        <v>96</v>
      </c>
      <c r="G14" s="68" t="n">
        <v>1</v>
      </c>
      <c r="H14" s="68" t="n">
        <v>2</v>
      </c>
      <c r="I14" s="70" t="n">
        <f aca="false">+J14*2</f>
        <v>0</v>
      </c>
      <c r="J14" s="136" t="n">
        <f aca="false">+'Vigilante 12X36 Diurno Arm'!$D$153</f>
        <v>0</v>
      </c>
      <c r="K14" s="70" t="n">
        <f aca="false">+J14*H14</f>
        <v>0</v>
      </c>
      <c r="L14" s="70" t="n">
        <f aca="false">+K14*12</f>
        <v>0</v>
      </c>
      <c r="M14" s="137"/>
    </row>
    <row r="15" customFormat="false" ht="13.5" hidden="false" customHeight="false" outlineLevel="0" collapsed="false">
      <c r="A15" s="135"/>
      <c r="B15" s="135"/>
      <c r="C15" s="149" t="s">
        <v>93</v>
      </c>
      <c r="D15" s="150" t="s">
        <v>94</v>
      </c>
      <c r="E15" s="150" t="s">
        <v>97</v>
      </c>
      <c r="F15" s="151" t="s">
        <v>96</v>
      </c>
      <c r="G15" s="152" t="n">
        <v>1</v>
      </c>
      <c r="H15" s="152" t="n">
        <v>2</v>
      </c>
      <c r="I15" s="153" t="n">
        <f aca="false">+J15*2</f>
        <v>0</v>
      </c>
      <c r="J15" s="154" t="n">
        <f aca="false">+'Vigilante 12x36 Noturno Arm'!$D$153</f>
        <v>0</v>
      </c>
      <c r="K15" s="153" t="n">
        <f aca="false">+J15*H15</f>
        <v>0</v>
      </c>
      <c r="L15" s="153" t="n">
        <f aca="false">+K15*12</f>
        <v>0</v>
      </c>
      <c r="M15" s="155" t="n">
        <f aca="false">+L15+L14</f>
        <v>0</v>
      </c>
    </row>
    <row r="16" customFormat="false" ht="13.5" hidden="false" customHeight="true" outlineLevel="0" collapsed="false">
      <c r="A16" s="135" t="s">
        <v>134</v>
      </c>
      <c r="B16" s="135"/>
      <c r="C16" s="65" t="s">
        <v>93</v>
      </c>
      <c r="D16" s="66" t="s">
        <v>94</v>
      </c>
      <c r="E16" s="66" t="s">
        <v>95</v>
      </c>
      <c r="F16" s="67" t="s">
        <v>96</v>
      </c>
      <c r="G16" s="68" t="n">
        <v>7</v>
      </c>
      <c r="H16" s="68" t="n">
        <v>14</v>
      </c>
      <c r="I16" s="70" t="n">
        <f aca="false">+J16*2</f>
        <v>0</v>
      </c>
      <c r="J16" s="136" t="n">
        <f aca="false">+'Vigilante 12X36 Diurno Arm'!$D$153</f>
        <v>0</v>
      </c>
      <c r="K16" s="70" t="n">
        <f aca="false">+J16*H16</f>
        <v>0</v>
      </c>
      <c r="L16" s="70" t="n">
        <f aca="false">+K16*12</f>
        <v>0</v>
      </c>
      <c r="M16" s="137"/>
    </row>
    <row r="17" customFormat="false" ht="12.75" hidden="false" customHeight="false" outlineLevel="0" collapsed="false">
      <c r="A17" s="135"/>
      <c r="B17" s="135"/>
      <c r="C17" s="73" t="s">
        <v>93</v>
      </c>
      <c r="D17" s="74" t="s">
        <v>94</v>
      </c>
      <c r="E17" s="74" t="s">
        <v>97</v>
      </c>
      <c r="F17" s="75" t="s">
        <v>96</v>
      </c>
      <c r="G17" s="76" t="n">
        <v>8</v>
      </c>
      <c r="H17" s="76" t="n">
        <v>16</v>
      </c>
      <c r="I17" s="78" t="n">
        <f aca="false">+J17*2</f>
        <v>0</v>
      </c>
      <c r="J17" s="129" t="n">
        <f aca="false">+'Vigilante 12x36 Noturno Arm'!$D$153</f>
        <v>0</v>
      </c>
      <c r="K17" s="78" t="n">
        <f aca="false">+J17*H17</f>
        <v>0</v>
      </c>
      <c r="L17" s="78" t="n">
        <f aca="false">+K17*12</f>
        <v>0</v>
      </c>
      <c r="M17" s="138"/>
    </row>
    <row r="18" customFormat="false" ht="13.5" hidden="false" customHeight="false" outlineLevel="0" collapsed="false">
      <c r="A18" s="135"/>
      <c r="B18" s="135"/>
      <c r="C18" s="149" t="s">
        <v>93</v>
      </c>
      <c r="D18" s="150" t="s">
        <v>99</v>
      </c>
      <c r="E18" s="150" t="s">
        <v>100</v>
      </c>
      <c r="F18" s="151" t="s">
        <v>101</v>
      </c>
      <c r="G18" s="152" t="n">
        <v>8</v>
      </c>
      <c r="H18" s="152" t="n">
        <v>8</v>
      </c>
      <c r="I18" s="153" t="n">
        <f aca="false">+J18*1</f>
        <v>0</v>
      </c>
      <c r="J18" s="154" t="n">
        <f aca="false">+'Vigilante 5x2 12h Arm'!$D$156</f>
        <v>0</v>
      </c>
      <c r="K18" s="153" t="n">
        <f aca="false">+J18*H18</f>
        <v>0</v>
      </c>
      <c r="L18" s="153" t="n">
        <f aca="false">+K18*12</f>
        <v>0</v>
      </c>
      <c r="M18" s="155" t="n">
        <f aca="false">+L18+L17+L16</f>
        <v>0</v>
      </c>
    </row>
    <row r="19" customFormat="false" ht="13.5" hidden="false" customHeight="true" outlineLevel="0" collapsed="false">
      <c r="A19" s="135" t="s">
        <v>135</v>
      </c>
      <c r="B19" s="135"/>
      <c r="C19" s="65" t="s">
        <v>93</v>
      </c>
      <c r="D19" s="66" t="s">
        <v>94</v>
      </c>
      <c r="E19" s="66" t="s">
        <v>95</v>
      </c>
      <c r="F19" s="67" t="s">
        <v>96</v>
      </c>
      <c r="G19" s="68" t="n">
        <v>5</v>
      </c>
      <c r="H19" s="68" t="n">
        <v>10</v>
      </c>
      <c r="I19" s="70" t="n">
        <f aca="false">+J19*2</f>
        <v>0</v>
      </c>
      <c r="J19" s="136" t="n">
        <f aca="false">+'Vigilante 12X36 Diurno Arm'!$D$153</f>
        <v>0</v>
      </c>
      <c r="K19" s="70" t="n">
        <f aca="false">+J19*H19</f>
        <v>0</v>
      </c>
      <c r="L19" s="70" t="n">
        <f aca="false">+K19*12</f>
        <v>0</v>
      </c>
      <c r="M19" s="137"/>
    </row>
    <row r="20" customFormat="false" ht="12.75" hidden="false" customHeight="false" outlineLevel="0" collapsed="false">
      <c r="A20" s="135"/>
      <c r="B20" s="135"/>
      <c r="C20" s="73" t="s">
        <v>93</v>
      </c>
      <c r="D20" s="74" t="s">
        <v>94</v>
      </c>
      <c r="E20" s="74" t="s">
        <v>97</v>
      </c>
      <c r="F20" s="75" t="s">
        <v>96</v>
      </c>
      <c r="G20" s="76" t="n">
        <v>4</v>
      </c>
      <c r="H20" s="76" t="n">
        <v>8</v>
      </c>
      <c r="I20" s="78" t="n">
        <f aca="false">+J20*2</f>
        <v>0</v>
      </c>
      <c r="J20" s="129" t="n">
        <f aca="false">+'Vigilante 12x36 Noturno Arm'!$D$153</f>
        <v>0</v>
      </c>
      <c r="K20" s="78" t="n">
        <f aca="false">+J20*H20</f>
        <v>0</v>
      </c>
      <c r="L20" s="78" t="n">
        <f aca="false">+K20*12</f>
        <v>0</v>
      </c>
      <c r="M20" s="138"/>
    </row>
    <row r="21" customFormat="false" ht="13.5" hidden="false" customHeight="false" outlineLevel="0" collapsed="false">
      <c r="A21" s="135"/>
      <c r="B21" s="135"/>
      <c r="C21" s="149" t="s">
        <v>93</v>
      </c>
      <c r="D21" s="150" t="s">
        <v>99</v>
      </c>
      <c r="E21" s="150" t="s">
        <v>100</v>
      </c>
      <c r="F21" s="151" t="s">
        <v>101</v>
      </c>
      <c r="G21" s="152" t="n">
        <v>4</v>
      </c>
      <c r="H21" s="152" t="n">
        <v>4</v>
      </c>
      <c r="I21" s="153" t="n">
        <f aca="false">+J21*1</f>
        <v>0</v>
      </c>
      <c r="J21" s="154" t="n">
        <f aca="false">+'Vigilante 5x2 12h Arm'!$D$156</f>
        <v>0</v>
      </c>
      <c r="K21" s="153" t="n">
        <f aca="false">+J21*H21</f>
        <v>0</v>
      </c>
      <c r="L21" s="153" t="n">
        <f aca="false">+K21*12</f>
        <v>0</v>
      </c>
      <c r="M21" s="155" t="n">
        <f aca="false">+L21+L20+L19</f>
        <v>0</v>
      </c>
    </row>
    <row r="22" customFormat="false" ht="12.75" hidden="false" customHeight="true" outlineLevel="0" collapsed="false">
      <c r="A22" s="135" t="s">
        <v>136</v>
      </c>
      <c r="B22" s="135"/>
      <c r="C22" s="65" t="s">
        <v>93</v>
      </c>
      <c r="D22" s="66" t="s">
        <v>94</v>
      </c>
      <c r="E22" s="66" t="s">
        <v>95</v>
      </c>
      <c r="F22" s="67" t="s">
        <v>96</v>
      </c>
      <c r="G22" s="68" t="n">
        <v>2</v>
      </c>
      <c r="H22" s="68" t="n">
        <v>4</v>
      </c>
      <c r="I22" s="70" t="n">
        <f aca="false">+J22*2</f>
        <v>0</v>
      </c>
      <c r="J22" s="136" t="n">
        <f aca="false">+'Vigilante 12X36 Diurno Arm'!$D$153</f>
        <v>0</v>
      </c>
      <c r="K22" s="70" t="n">
        <f aca="false">+J22*H22</f>
        <v>0</v>
      </c>
      <c r="L22" s="70" t="n">
        <f aca="false">+K22*12</f>
        <v>0</v>
      </c>
      <c r="M22" s="137"/>
    </row>
    <row r="23" customFormat="false" ht="13.5" hidden="false" customHeight="false" outlineLevel="0" collapsed="false">
      <c r="A23" s="135"/>
      <c r="B23" s="135"/>
      <c r="C23" s="149" t="s">
        <v>93</v>
      </c>
      <c r="D23" s="150" t="s">
        <v>94</v>
      </c>
      <c r="E23" s="150" t="s">
        <v>97</v>
      </c>
      <c r="F23" s="151" t="s">
        <v>96</v>
      </c>
      <c r="G23" s="152" t="n">
        <v>2</v>
      </c>
      <c r="H23" s="152" t="n">
        <v>4</v>
      </c>
      <c r="I23" s="153" t="n">
        <f aca="false">+J23*2</f>
        <v>0</v>
      </c>
      <c r="J23" s="154" t="n">
        <f aca="false">+'Vigilante 12x36 Noturno Arm'!$D$153</f>
        <v>0</v>
      </c>
      <c r="K23" s="153" t="n">
        <f aca="false">+J23*H23</f>
        <v>0</v>
      </c>
      <c r="L23" s="153" t="n">
        <f aca="false">+K23*12</f>
        <v>0</v>
      </c>
      <c r="M23" s="155" t="n">
        <f aca="false">+L23+L22</f>
        <v>0</v>
      </c>
    </row>
    <row r="24" customFormat="false" ht="12.75" hidden="false" customHeight="false" outlineLevel="0" collapsed="false">
      <c r="A24" s="156" t="s">
        <v>137</v>
      </c>
      <c r="B24" s="156"/>
      <c r="C24" s="65" t="s">
        <v>93</v>
      </c>
      <c r="D24" s="66" t="s">
        <v>94</v>
      </c>
      <c r="E24" s="66" t="s">
        <v>95</v>
      </c>
      <c r="F24" s="67" t="s">
        <v>96</v>
      </c>
      <c r="G24" s="68" t="n">
        <v>2</v>
      </c>
      <c r="H24" s="68" t="n">
        <v>4</v>
      </c>
      <c r="I24" s="70" t="n">
        <f aca="false">+J24*2</f>
        <v>0</v>
      </c>
      <c r="J24" s="136" t="n">
        <f aca="false">+'Vigilante 12X36 Diurno Arm'!$D$153</f>
        <v>0</v>
      </c>
      <c r="K24" s="70" t="n">
        <f aca="false">+J24*H24</f>
        <v>0</v>
      </c>
      <c r="L24" s="70" t="n">
        <f aca="false">+K24*12</f>
        <v>0</v>
      </c>
      <c r="M24" s="137"/>
    </row>
    <row r="25" customFormat="false" ht="13.5" hidden="false" customHeight="false" outlineLevel="0" collapsed="false">
      <c r="A25" s="156"/>
      <c r="B25" s="156"/>
      <c r="C25" s="149" t="s">
        <v>93</v>
      </c>
      <c r="D25" s="150" t="s">
        <v>94</v>
      </c>
      <c r="E25" s="150" t="s">
        <v>97</v>
      </c>
      <c r="F25" s="151" t="s">
        <v>96</v>
      </c>
      <c r="G25" s="152" t="n">
        <v>2</v>
      </c>
      <c r="H25" s="152" t="n">
        <v>4</v>
      </c>
      <c r="I25" s="153" t="n">
        <f aca="false">+J25*2</f>
        <v>0</v>
      </c>
      <c r="J25" s="154" t="n">
        <f aca="false">+'Vigilante 12x36 Noturno Arm'!$D$153</f>
        <v>0</v>
      </c>
      <c r="K25" s="153" t="n">
        <f aca="false">+J25*H25</f>
        <v>0</v>
      </c>
      <c r="L25" s="153" t="n">
        <f aca="false">+K25*12</f>
        <v>0</v>
      </c>
      <c r="M25" s="155" t="n">
        <f aca="false">+L25+L24</f>
        <v>0</v>
      </c>
    </row>
    <row r="26" customFormat="false" ht="12.75" hidden="false" customHeight="false" outlineLevel="0" collapsed="false">
      <c r="A26" s="156" t="s">
        <v>138</v>
      </c>
      <c r="B26" s="156"/>
      <c r="C26" s="65" t="s">
        <v>98</v>
      </c>
      <c r="D26" s="66" t="s">
        <v>94</v>
      </c>
      <c r="E26" s="66" t="s">
        <v>95</v>
      </c>
      <c r="F26" s="67" t="s">
        <v>96</v>
      </c>
      <c r="G26" s="68" t="n">
        <v>3</v>
      </c>
      <c r="H26" s="68" t="n">
        <v>6</v>
      </c>
      <c r="I26" s="70" t="n">
        <f aca="false">+J26*2</f>
        <v>0</v>
      </c>
      <c r="J26" s="136" t="n">
        <f aca="false">+'Vigilante 12x36 Diurno Des'!$D$153</f>
        <v>0</v>
      </c>
      <c r="K26" s="70" t="n">
        <f aca="false">+J26*H26</f>
        <v>0</v>
      </c>
      <c r="L26" s="70" t="n">
        <f aca="false">+K26*12</f>
        <v>0</v>
      </c>
      <c r="M26" s="137"/>
    </row>
    <row r="27" customFormat="false" ht="13.5" hidden="false" customHeight="false" outlineLevel="0" collapsed="false">
      <c r="A27" s="156"/>
      <c r="B27" s="156"/>
      <c r="C27" s="149" t="s">
        <v>98</v>
      </c>
      <c r="D27" s="150" t="s">
        <v>94</v>
      </c>
      <c r="E27" s="150" t="s">
        <v>97</v>
      </c>
      <c r="F27" s="151" t="s">
        <v>96</v>
      </c>
      <c r="G27" s="152" t="n">
        <v>1</v>
      </c>
      <c r="H27" s="152" t="n">
        <v>2</v>
      </c>
      <c r="I27" s="153" t="n">
        <f aca="false">+J27*2</f>
        <v>0</v>
      </c>
      <c r="J27" s="154" t="n">
        <f aca="false">+'Vigilante 12x36 Noturno Des'!$D$153</f>
        <v>0</v>
      </c>
      <c r="K27" s="153" t="n">
        <f aca="false">+J27*H27</f>
        <v>0</v>
      </c>
      <c r="L27" s="153" t="n">
        <f aca="false">+K27*12</f>
        <v>0</v>
      </c>
      <c r="M27" s="155" t="n">
        <f aca="false">+L27+L26</f>
        <v>0</v>
      </c>
    </row>
    <row r="28" customFormat="false" ht="12.75" hidden="false" customHeight="false" outlineLevel="0" collapsed="false">
      <c r="A28" s="156" t="s">
        <v>139</v>
      </c>
      <c r="B28" s="156"/>
      <c r="C28" s="65" t="s">
        <v>98</v>
      </c>
      <c r="D28" s="66" t="s">
        <v>94</v>
      </c>
      <c r="E28" s="66" t="s">
        <v>95</v>
      </c>
      <c r="F28" s="67" t="s">
        <v>96</v>
      </c>
      <c r="G28" s="68" t="n">
        <v>2</v>
      </c>
      <c r="H28" s="68" t="n">
        <v>4</v>
      </c>
      <c r="I28" s="70" t="n">
        <f aca="false">+J28*2</f>
        <v>0</v>
      </c>
      <c r="J28" s="136" t="n">
        <f aca="false">+'Vigilante 12x36 Diurno Des'!$D$153</f>
        <v>0</v>
      </c>
      <c r="K28" s="70" t="n">
        <f aca="false">+J28*H28</f>
        <v>0</v>
      </c>
      <c r="L28" s="70" t="n">
        <f aca="false">+K28*12</f>
        <v>0</v>
      </c>
      <c r="M28" s="137"/>
    </row>
    <row r="29" customFormat="false" ht="13.5" hidden="false" customHeight="false" outlineLevel="0" collapsed="false">
      <c r="A29" s="156"/>
      <c r="B29" s="156"/>
      <c r="C29" s="149" t="s">
        <v>98</v>
      </c>
      <c r="D29" s="150" t="s">
        <v>94</v>
      </c>
      <c r="E29" s="150" t="s">
        <v>97</v>
      </c>
      <c r="F29" s="151" t="s">
        <v>96</v>
      </c>
      <c r="G29" s="152" t="n">
        <v>1</v>
      </c>
      <c r="H29" s="152" t="n">
        <v>2</v>
      </c>
      <c r="I29" s="153" t="n">
        <f aca="false">+J29*2</f>
        <v>0</v>
      </c>
      <c r="J29" s="154" t="n">
        <f aca="false">+'Vigilante 12x36 Noturno Des'!$D$153</f>
        <v>0</v>
      </c>
      <c r="K29" s="153" t="n">
        <f aca="false">+J29*H29</f>
        <v>0</v>
      </c>
      <c r="L29" s="153" t="n">
        <f aca="false">+K29*12</f>
        <v>0</v>
      </c>
      <c r="M29" s="155" t="n">
        <f aca="false">+L29+L28</f>
        <v>0</v>
      </c>
    </row>
    <row r="30" customFormat="false" ht="12.75" hidden="false" customHeight="true" outlineLevel="0" collapsed="false">
      <c r="A30" s="135" t="s">
        <v>140</v>
      </c>
      <c r="B30" s="135"/>
      <c r="C30" s="65" t="s">
        <v>93</v>
      </c>
      <c r="D30" s="66" t="s">
        <v>94</v>
      </c>
      <c r="E30" s="66" t="s">
        <v>95</v>
      </c>
      <c r="F30" s="67" t="s">
        <v>96</v>
      </c>
      <c r="G30" s="68" t="n">
        <v>2</v>
      </c>
      <c r="H30" s="68" t="n">
        <v>4</v>
      </c>
      <c r="I30" s="70" t="n">
        <f aca="false">+J30*2</f>
        <v>0</v>
      </c>
      <c r="J30" s="136" t="n">
        <f aca="false">+'Vigilante 12X36 Diurno Arm'!$D$153</f>
        <v>0</v>
      </c>
      <c r="K30" s="70" t="n">
        <f aca="false">+J30*H30</f>
        <v>0</v>
      </c>
      <c r="L30" s="70" t="n">
        <f aca="false">+K30*12</f>
        <v>0</v>
      </c>
      <c r="M30" s="137"/>
    </row>
    <row r="31" customFormat="false" ht="13.5" hidden="false" customHeight="false" outlineLevel="0" collapsed="false">
      <c r="A31" s="135"/>
      <c r="B31" s="135"/>
      <c r="C31" s="80" t="s">
        <v>93</v>
      </c>
      <c r="D31" s="81" t="s">
        <v>94</v>
      </c>
      <c r="E31" s="81" t="s">
        <v>97</v>
      </c>
      <c r="F31" s="82" t="s">
        <v>96</v>
      </c>
      <c r="G31" s="83" t="n">
        <v>2</v>
      </c>
      <c r="H31" s="83" t="n">
        <v>4</v>
      </c>
      <c r="I31" s="85" t="n">
        <f aca="false">+J31*2</f>
        <v>0</v>
      </c>
      <c r="J31" s="139" t="n">
        <f aca="false">+'Vigilante 12x36 Noturno Arm'!$D$153</f>
        <v>0</v>
      </c>
      <c r="K31" s="85" t="n">
        <f aca="false">+J31*H31</f>
        <v>0</v>
      </c>
      <c r="L31" s="85" t="n">
        <f aca="false">+K31*12</f>
        <v>0</v>
      </c>
      <c r="M31" s="140" t="n">
        <f aca="false">+L31+L30</f>
        <v>0</v>
      </c>
    </row>
    <row r="32" customFormat="false" ht="12.75" hidden="false" customHeight="true" outlineLevel="0" collapsed="false">
      <c r="A32" s="157" t="s">
        <v>141</v>
      </c>
      <c r="B32" s="157"/>
      <c r="C32" s="65" t="s">
        <v>93</v>
      </c>
      <c r="D32" s="66" t="s">
        <v>94</v>
      </c>
      <c r="E32" s="66" t="s">
        <v>95</v>
      </c>
      <c r="F32" s="67" t="s">
        <v>96</v>
      </c>
      <c r="G32" s="68" t="n">
        <v>2</v>
      </c>
      <c r="H32" s="68" t="n">
        <v>4</v>
      </c>
      <c r="I32" s="70" t="n">
        <f aca="false">+J32*2</f>
        <v>0</v>
      </c>
      <c r="J32" s="136" t="n">
        <f aca="false">+'Vigilante 12X36 Diurno Arm'!$D$153</f>
        <v>0</v>
      </c>
      <c r="K32" s="70" t="n">
        <f aca="false">+J32*H32</f>
        <v>0</v>
      </c>
      <c r="L32" s="70" t="n">
        <f aca="false">+K32*12</f>
        <v>0</v>
      </c>
      <c r="M32" s="137"/>
    </row>
    <row r="33" customFormat="false" ht="13.5" hidden="false" customHeight="false" outlineLevel="0" collapsed="false">
      <c r="A33" s="157"/>
      <c r="B33" s="157"/>
      <c r="C33" s="80" t="s">
        <v>93</v>
      </c>
      <c r="D33" s="81" t="s">
        <v>94</v>
      </c>
      <c r="E33" s="81" t="s">
        <v>97</v>
      </c>
      <c r="F33" s="82" t="s">
        <v>96</v>
      </c>
      <c r="G33" s="83" t="n">
        <v>2</v>
      </c>
      <c r="H33" s="83" t="n">
        <v>4</v>
      </c>
      <c r="I33" s="85" t="n">
        <f aca="false">+J33*2</f>
        <v>0</v>
      </c>
      <c r="J33" s="139" t="n">
        <f aca="false">+'Vigilante 12x36 Noturno Arm'!$D$153</f>
        <v>0</v>
      </c>
      <c r="K33" s="85" t="n">
        <f aca="false">+J33*H33</f>
        <v>0</v>
      </c>
      <c r="L33" s="85" t="n">
        <f aca="false">+K33*12</f>
        <v>0</v>
      </c>
      <c r="M33" s="140" t="n">
        <f aca="false">+L33+L32</f>
        <v>0</v>
      </c>
    </row>
    <row r="34" customFormat="false" ht="12.75" hidden="false" customHeight="false" outlineLevel="0" collapsed="false">
      <c r="A34" s="156" t="s">
        <v>142</v>
      </c>
      <c r="B34" s="156"/>
      <c r="C34" s="65" t="s">
        <v>93</v>
      </c>
      <c r="D34" s="66" t="s">
        <v>94</v>
      </c>
      <c r="E34" s="66" t="s">
        <v>95</v>
      </c>
      <c r="F34" s="67" t="s">
        <v>96</v>
      </c>
      <c r="G34" s="68" t="n">
        <v>3</v>
      </c>
      <c r="H34" s="68" t="n">
        <v>6</v>
      </c>
      <c r="I34" s="70" t="n">
        <f aca="false">+J34*2</f>
        <v>0</v>
      </c>
      <c r="J34" s="136" t="n">
        <f aca="false">+'Vigilante 12X36 Diurno Arm'!$D$153</f>
        <v>0</v>
      </c>
      <c r="K34" s="70" t="n">
        <f aca="false">+J34*H34</f>
        <v>0</v>
      </c>
      <c r="L34" s="70" t="n">
        <f aca="false">+K34*12</f>
        <v>0</v>
      </c>
      <c r="M34" s="137"/>
    </row>
    <row r="35" customFormat="false" ht="13.5" hidden="false" customHeight="false" outlineLevel="0" collapsed="false">
      <c r="A35" s="156"/>
      <c r="B35" s="156"/>
      <c r="C35" s="80" t="s">
        <v>93</v>
      </c>
      <c r="D35" s="81" t="s">
        <v>94</v>
      </c>
      <c r="E35" s="81" t="s">
        <v>97</v>
      </c>
      <c r="F35" s="82" t="s">
        <v>96</v>
      </c>
      <c r="G35" s="83" t="n">
        <v>2</v>
      </c>
      <c r="H35" s="83" t="n">
        <v>4</v>
      </c>
      <c r="I35" s="85" t="n">
        <f aca="false">+J35*2</f>
        <v>0</v>
      </c>
      <c r="J35" s="139" t="n">
        <f aca="false">+'Vigilante 12x36 Noturno Arm'!$D$153</f>
        <v>0</v>
      </c>
      <c r="K35" s="85" t="n">
        <f aca="false">+J35*H35</f>
        <v>0</v>
      </c>
      <c r="L35" s="85" t="n">
        <f aca="false">+K35*12</f>
        <v>0</v>
      </c>
      <c r="M35" s="140" t="n">
        <f aca="false">+L35+L34</f>
        <v>0</v>
      </c>
    </row>
    <row r="36" customFormat="false" ht="13.5" hidden="false" customHeight="false" outlineLevel="0" collapsed="false">
      <c r="G36" s="158" t="n">
        <f aca="false">SUM(G3:G35)</f>
        <v>95</v>
      </c>
      <c r="H36" s="159" t="n">
        <f aca="false">SUM(H3:H35)</f>
        <v>169</v>
      </c>
      <c r="K36" s="160" t="n">
        <f aca="false">SUM(K3:K35)</f>
        <v>0</v>
      </c>
      <c r="L36" s="160" t="n">
        <f aca="false">SUM(L3:L35)</f>
        <v>0</v>
      </c>
      <c r="M36" s="103"/>
    </row>
    <row r="38" customFormat="false" ht="60" hidden="false" customHeight="true" outlineLevel="0" collapsed="false">
      <c r="D38" s="161" t="s">
        <v>81</v>
      </c>
      <c r="E38" s="161" t="s">
        <v>82</v>
      </c>
      <c r="F38" s="161" t="s">
        <v>83</v>
      </c>
      <c r="G38" s="161" t="s">
        <v>91</v>
      </c>
      <c r="H38" s="161" t="s">
        <v>92</v>
      </c>
    </row>
    <row r="39" s="162" customFormat="true" ht="12.75" hidden="false" customHeight="false" outlineLevel="0" collapsed="false">
      <c r="C39" s="112" t="s">
        <v>93</v>
      </c>
      <c r="D39" s="113" t="s">
        <v>94</v>
      </c>
      <c r="E39" s="113" t="s">
        <v>95</v>
      </c>
      <c r="F39" s="114" t="s">
        <v>96</v>
      </c>
      <c r="G39" s="115" t="n">
        <f aca="false">+G3+G6+G9+G12+G14+G16+G19+G22+G24+G30+G32+G34</f>
        <v>34</v>
      </c>
      <c r="H39" s="115" t="n">
        <f aca="false">+H3+H6+H9+H12+H14+H16+H19+H22+H24+H30+H32+H34</f>
        <v>68</v>
      </c>
    </row>
    <row r="40" s="162" customFormat="true" ht="12.75" hidden="false" customHeight="false" outlineLevel="0" collapsed="false">
      <c r="C40" s="112" t="s">
        <v>93</v>
      </c>
      <c r="D40" s="113" t="s">
        <v>94</v>
      </c>
      <c r="E40" s="113" t="s">
        <v>97</v>
      </c>
      <c r="F40" s="114" t="s">
        <v>96</v>
      </c>
      <c r="G40" s="115" t="n">
        <f aca="false">+G4+G7+G10+G13+G15+G17+G20+G23+G25+G31+G33+G35</f>
        <v>33</v>
      </c>
      <c r="H40" s="115" t="n">
        <f aca="false">+H4+H7+H10+H13+H15+H17+H20+H23+H25+H31+H33+H35</f>
        <v>66</v>
      </c>
    </row>
    <row r="41" s="162" customFormat="true" ht="12.75" hidden="false" customHeight="false" outlineLevel="0" collapsed="false">
      <c r="C41" s="112" t="s">
        <v>93</v>
      </c>
      <c r="D41" s="113" t="s">
        <v>99</v>
      </c>
      <c r="E41" s="113" t="s">
        <v>100</v>
      </c>
      <c r="F41" s="114" t="s">
        <v>101</v>
      </c>
      <c r="G41" s="115" t="n">
        <f aca="false">+G5+G11+G18+G21</f>
        <v>20</v>
      </c>
      <c r="H41" s="115" t="n">
        <f aca="false">+H5+H11+H18+H21</f>
        <v>20</v>
      </c>
    </row>
    <row r="42" s="162" customFormat="true" ht="12.75" hidden="false" customHeight="false" outlineLevel="0" collapsed="false">
      <c r="C42" s="112" t="s">
        <v>93</v>
      </c>
      <c r="D42" s="113" t="s">
        <v>102</v>
      </c>
      <c r="E42" s="113" t="s">
        <v>103</v>
      </c>
      <c r="F42" s="114" t="s">
        <v>101</v>
      </c>
      <c r="G42" s="115" t="n">
        <f aca="false">+G8</f>
        <v>1</v>
      </c>
      <c r="H42" s="115" t="n">
        <f aca="false">+H8</f>
        <v>1</v>
      </c>
    </row>
    <row r="43" s="162" customFormat="true" ht="4.5" hidden="false" customHeight="true" outlineLevel="0" collapsed="false"/>
    <row r="44" s="162" customFormat="true" ht="12.75" hidden="false" customHeight="false" outlineLevel="0" collapsed="false">
      <c r="C44" s="112" t="s">
        <v>98</v>
      </c>
      <c r="D44" s="113" t="s">
        <v>94</v>
      </c>
      <c r="E44" s="113" t="s">
        <v>95</v>
      </c>
      <c r="F44" s="114" t="s">
        <v>96</v>
      </c>
      <c r="G44" s="115" t="n">
        <f aca="false">+G26+G28</f>
        <v>5</v>
      </c>
      <c r="H44" s="115" t="n">
        <f aca="false">+H26+H28</f>
        <v>10</v>
      </c>
    </row>
    <row r="45" s="162" customFormat="true" ht="12.75" hidden="false" customHeight="false" outlineLevel="0" collapsed="false">
      <c r="C45" s="112" t="s">
        <v>98</v>
      </c>
      <c r="D45" s="113" t="s">
        <v>94</v>
      </c>
      <c r="E45" s="113" t="s">
        <v>97</v>
      </c>
      <c r="F45" s="114" t="s">
        <v>96</v>
      </c>
      <c r="G45" s="115" t="n">
        <f aca="false">+G27+G29</f>
        <v>2</v>
      </c>
      <c r="H45" s="115" t="n">
        <f aca="false">+H27+H29</f>
        <v>4</v>
      </c>
    </row>
    <row r="46" customFormat="false" ht="13.5" hidden="false" customHeight="false" outlineLevel="0" collapsed="false"/>
    <row r="47" customFormat="false" ht="13.5" hidden="false" customHeight="false" outlineLevel="0" collapsed="false">
      <c r="G47" s="163" t="n">
        <f aca="false">SUM(G39:G42)</f>
        <v>88</v>
      </c>
      <c r="H47" s="164" t="n">
        <f aca="false">SUM(H39:H42)</f>
        <v>155</v>
      </c>
    </row>
    <row r="49" customFormat="false" ht="12.75" hidden="false" customHeight="true" outlineLevel="0" collapsed="false">
      <c r="A49" s="165" t="s">
        <v>27</v>
      </c>
      <c r="B49" s="165"/>
      <c r="C49" s="165"/>
      <c r="D49" s="165"/>
      <c r="E49" s="165"/>
      <c r="F49" s="165"/>
      <c r="G49" s="165"/>
      <c r="H49" s="166" t="s">
        <v>28</v>
      </c>
      <c r="I49" s="121" t="s">
        <v>29</v>
      </c>
      <c r="J49" s="121"/>
      <c r="K49" s="167" t="s">
        <v>112</v>
      </c>
      <c r="L49" s="122" t="s">
        <v>113</v>
      </c>
      <c r="M49" s="122" t="s">
        <v>124</v>
      </c>
      <c r="N49" s="123" t="s">
        <v>125</v>
      </c>
    </row>
    <row r="50" customFormat="false" ht="41.25" hidden="false" customHeight="true" outlineLevel="0" collapsed="false">
      <c r="A50" s="165"/>
      <c r="B50" s="165"/>
      <c r="C50" s="165"/>
      <c r="D50" s="165"/>
      <c r="E50" s="165"/>
      <c r="F50" s="165"/>
      <c r="G50" s="165"/>
      <c r="H50" s="166"/>
      <c r="I50" s="168" t="s">
        <v>31</v>
      </c>
      <c r="J50" s="168" t="s">
        <v>32</v>
      </c>
      <c r="K50" s="167"/>
      <c r="L50" s="122"/>
      <c r="M50" s="122"/>
      <c r="N50" s="123"/>
    </row>
    <row r="51" customFormat="false" ht="27.95" hidden="false" customHeight="true" outlineLevel="0" collapsed="false">
      <c r="A51" s="20" t="s">
        <v>46</v>
      </c>
      <c r="B51" s="21" t="s">
        <v>47</v>
      </c>
      <c r="C51" s="21" t="s">
        <v>126</v>
      </c>
      <c r="D51" s="21"/>
      <c r="E51" s="21"/>
      <c r="F51" s="21"/>
      <c r="G51" s="21"/>
      <c r="H51" s="21" t="s">
        <v>38</v>
      </c>
      <c r="I51" s="128" t="n">
        <f aca="false">+G39</f>
        <v>34</v>
      </c>
      <c r="J51" s="128" t="n">
        <f aca="false">+H39</f>
        <v>68</v>
      </c>
      <c r="K51" s="78" t="n">
        <f aca="false">+L51*2</f>
        <v>0</v>
      </c>
      <c r="L51" s="129" t="n">
        <f aca="false">+'Vigilante 12X36 Diurno Arm'!$D$153</f>
        <v>0</v>
      </c>
      <c r="M51" s="78" t="n">
        <f aca="false">+L51*J51</f>
        <v>0</v>
      </c>
      <c r="N51" s="78" t="n">
        <f aca="false">+M51*12</f>
        <v>0</v>
      </c>
    </row>
    <row r="52" customFormat="false" ht="27.95" hidden="false" customHeight="true" outlineLevel="0" collapsed="false">
      <c r="A52" s="20"/>
      <c r="B52" s="21" t="s">
        <v>48</v>
      </c>
      <c r="C52" s="21" t="s">
        <v>127</v>
      </c>
      <c r="D52" s="21"/>
      <c r="E52" s="21"/>
      <c r="F52" s="21"/>
      <c r="G52" s="21"/>
      <c r="H52" s="21" t="s">
        <v>38</v>
      </c>
      <c r="I52" s="128" t="n">
        <f aca="false">+G40</f>
        <v>33</v>
      </c>
      <c r="J52" s="128" t="n">
        <f aca="false">+H40</f>
        <v>66</v>
      </c>
      <c r="K52" s="78" t="n">
        <f aca="false">+L52*2</f>
        <v>0</v>
      </c>
      <c r="L52" s="129" t="n">
        <f aca="false">+'Vigilante 12x36 Noturno Arm'!$D$153</f>
        <v>0</v>
      </c>
      <c r="M52" s="78" t="n">
        <f aca="false">+L52*J52</f>
        <v>0</v>
      </c>
      <c r="N52" s="78" t="n">
        <f aca="false">+M52*12</f>
        <v>0</v>
      </c>
    </row>
    <row r="53" customFormat="false" ht="27.95" hidden="false" customHeight="true" outlineLevel="0" collapsed="false">
      <c r="A53" s="20"/>
      <c r="B53" s="21" t="s">
        <v>49</v>
      </c>
      <c r="C53" s="21" t="s">
        <v>42</v>
      </c>
      <c r="D53" s="21"/>
      <c r="E53" s="21"/>
      <c r="F53" s="21"/>
      <c r="G53" s="21"/>
      <c r="H53" s="21" t="s">
        <v>43</v>
      </c>
      <c r="I53" s="128" t="n">
        <f aca="false">+G41</f>
        <v>20</v>
      </c>
      <c r="J53" s="128" t="n">
        <f aca="false">+H41</f>
        <v>20</v>
      </c>
      <c r="K53" s="129" t="n">
        <f aca="false">+L53</f>
        <v>0</v>
      </c>
      <c r="L53" s="129" t="n">
        <f aca="false">+'Vigilante 5x2 12h Arm'!$D$156</f>
        <v>0</v>
      </c>
      <c r="M53" s="78" t="n">
        <f aca="false">+L53*J53</f>
        <v>0</v>
      </c>
      <c r="N53" s="78" t="n">
        <f aca="false">+M53*12</f>
        <v>0</v>
      </c>
    </row>
    <row r="54" customFormat="false" ht="27.95" hidden="false" customHeight="true" outlineLevel="0" collapsed="false">
      <c r="A54" s="20"/>
      <c r="B54" s="21" t="s">
        <v>50</v>
      </c>
      <c r="C54" s="21" t="s">
        <v>45</v>
      </c>
      <c r="D54" s="21"/>
      <c r="E54" s="21"/>
      <c r="F54" s="21"/>
      <c r="G54" s="21"/>
      <c r="H54" s="21" t="s">
        <v>43</v>
      </c>
      <c r="I54" s="128" t="n">
        <f aca="false">+G42</f>
        <v>1</v>
      </c>
      <c r="J54" s="128" t="n">
        <f aca="false">+H42</f>
        <v>1</v>
      </c>
      <c r="K54" s="129" t="n">
        <f aca="false">+L54</f>
        <v>0</v>
      </c>
      <c r="L54" s="129" t="n">
        <f aca="false">+'Vigilante 44h Arm'!$D$155</f>
        <v>0</v>
      </c>
      <c r="M54" s="78" t="n">
        <f aca="false">+L54*J54</f>
        <v>0</v>
      </c>
      <c r="N54" s="78" t="n">
        <f aca="false">+M54*12</f>
        <v>0</v>
      </c>
    </row>
    <row r="55" customFormat="false" ht="27.95" hidden="false" customHeight="true" outlineLevel="0" collapsed="false">
      <c r="A55" s="20"/>
      <c r="B55" s="21" t="s">
        <v>51</v>
      </c>
      <c r="C55" s="21" t="s">
        <v>143</v>
      </c>
      <c r="D55" s="21"/>
      <c r="E55" s="21"/>
      <c r="F55" s="21"/>
      <c r="G55" s="21"/>
      <c r="H55" s="21" t="s">
        <v>38</v>
      </c>
      <c r="I55" s="110" t="n">
        <f aca="false">+G44</f>
        <v>5</v>
      </c>
      <c r="J55" s="110" t="n">
        <f aca="false">+H44</f>
        <v>10</v>
      </c>
      <c r="K55" s="78" t="n">
        <f aca="false">+L55*2</f>
        <v>0</v>
      </c>
      <c r="L55" s="129" t="n">
        <f aca="false">+'Vigilante 12x36 Diurno Des'!$D$153</f>
        <v>0</v>
      </c>
      <c r="M55" s="78" t="n">
        <f aca="false">+L55*J55</f>
        <v>0</v>
      </c>
      <c r="N55" s="78" t="n">
        <f aca="false">+M55*12</f>
        <v>0</v>
      </c>
    </row>
    <row r="56" customFormat="false" ht="27.95" hidden="false" customHeight="true" outlineLevel="0" collapsed="false">
      <c r="A56" s="20"/>
      <c r="B56" s="21" t="s">
        <v>53</v>
      </c>
      <c r="C56" s="21" t="s">
        <v>144</v>
      </c>
      <c r="D56" s="21"/>
      <c r="E56" s="21"/>
      <c r="F56" s="21"/>
      <c r="G56" s="21"/>
      <c r="H56" s="21" t="s">
        <v>38</v>
      </c>
      <c r="I56" s="110" t="n">
        <f aca="false">+G45</f>
        <v>2</v>
      </c>
      <c r="J56" s="110" t="n">
        <f aca="false">+H45</f>
        <v>4</v>
      </c>
      <c r="K56" s="78" t="n">
        <f aca="false">+L56*2</f>
        <v>0</v>
      </c>
      <c r="L56" s="129" t="n">
        <f aca="false">+'Vigilante 12x36 Noturno Des'!$D$153</f>
        <v>0</v>
      </c>
      <c r="M56" s="78" t="n">
        <f aca="false">+L56*J56</f>
        <v>0</v>
      </c>
      <c r="N56" s="78" t="n">
        <f aca="false">+M56*12</f>
        <v>0</v>
      </c>
    </row>
    <row r="57" customFormat="false" ht="13.5" hidden="false" customHeight="false" outlineLevel="0" collapsed="false">
      <c r="I57" s="101" t="n">
        <f aca="false">SUM(I51:I55)</f>
        <v>93</v>
      </c>
      <c r="J57" s="101" t="n">
        <f aca="false">SUM(J51:J54)</f>
        <v>155</v>
      </c>
      <c r="M57" s="169" t="n">
        <f aca="false">SUM(M51:M56)</f>
        <v>0</v>
      </c>
      <c r="N57" s="170" t="n">
        <f aca="false">SUM(N51:N56)</f>
        <v>0</v>
      </c>
    </row>
  </sheetData>
  <mergeCells count="30">
    <mergeCell ref="B1:M1"/>
    <mergeCell ref="A2:B2"/>
    <mergeCell ref="A3:B5"/>
    <mergeCell ref="A6:B8"/>
    <mergeCell ref="A9:B11"/>
    <mergeCell ref="A12:B13"/>
    <mergeCell ref="A14:B15"/>
    <mergeCell ref="A16:B18"/>
    <mergeCell ref="A19:B21"/>
    <mergeCell ref="A22:B23"/>
    <mergeCell ref="A24:B25"/>
    <mergeCell ref="A26:B27"/>
    <mergeCell ref="A28:B29"/>
    <mergeCell ref="A30:B31"/>
    <mergeCell ref="A32:B33"/>
    <mergeCell ref="A34:B35"/>
    <mergeCell ref="A49:G50"/>
    <mergeCell ref="H49:H50"/>
    <mergeCell ref="I49:J49"/>
    <mergeCell ref="K49:K50"/>
    <mergeCell ref="L49:L50"/>
    <mergeCell ref="M49:M50"/>
    <mergeCell ref="N49:N50"/>
    <mergeCell ref="A51:A56"/>
    <mergeCell ref="C51:G51"/>
    <mergeCell ref="C52:G52"/>
    <mergeCell ref="C53:G53"/>
    <mergeCell ref="C54:G54"/>
    <mergeCell ref="C55:G55"/>
    <mergeCell ref="C56:G56"/>
  </mergeCells>
  <printOptions headings="false" gridLines="false" gridLinesSet="true" horizontalCentered="false" verticalCentered="false"/>
  <pageMargins left="0.870138888888889" right="0.140277777777778" top="0.7875" bottom="0.270138888888889" header="0.511805555555555" footer="0.140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3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1" activeCellId="0" sqref="F41"/>
    </sheetView>
  </sheetViews>
  <sheetFormatPr defaultRowHeight="12.75" zeroHeight="false" outlineLevelRow="0" outlineLevelCol="0"/>
  <cols>
    <col collapsed="false" customWidth="true" hidden="false" outlineLevel="0" max="1" min="1" style="0" width="7.25"/>
    <col collapsed="false" customWidth="true" hidden="false" outlineLevel="0" max="2" min="2" style="0" width="23.88"/>
    <col collapsed="false" customWidth="true" hidden="false" outlineLevel="0" max="4" min="3" style="0" width="8.59"/>
    <col collapsed="false" customWidth="true" hidden="false" outlineLevel="0" max="5" min="5" style="0" width="13.75"/>
    <col collapsed="false" customWidth="true" hidden="false" outlineLevel="0" max="6" min="6" style="0" width="18.63"/>
    <col collapsed="false" customWidth="true" hidden="false" outlineLevel="0" max="7" min="7" style="0" width="8.59"/>
    <col collapsed="false" customWidth="false" hidden="false" outlineLevel="0" max="8" min="8" style="0" width="11.5"/>
    <col collapsed="false" customWidth="true" hidden="false" outlineLevel="0" max="10" min="9" style="0" width="14"/>
    <col collapsed="false" customWidth="true" hidden="false" outlineLevel="0" max="11" min="11" style="0" width="16.63"/>
    <col collapsed="false" customWidth="true" hidden="false" outlineLevel="0" max="14" min="12" style="0" width="17.37"/>
    <col collapsed="false" customWidth="true" hidden="false" outlineLevel="0" max="1025" min="15" style="0" width="8.59"/>
  </cols>
  <sheetData>
    <row r="1" customFormat="false" ht="15" hidden="false" customHeight="true" outlineLevel="0" collapsed="false">
      <c r="A1" s="171" t="s">
        <v>145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customFormat="false" ht="60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3.5" hidden="false" customHeight="true" outlineLevel="0" collapsed="false">
      <c r="A3" s="135" t="s">
        <v>146</v>
      </c>
      <c r="B3" s="135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1</v>
      </c>
      <c r="H3" s="68" t="n">
        <v>2</v>
      </c>
      <c r="I3" s="70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3.5" hidden="false" customHeight="false" outlineLevel="0" collapsed="false">
      <c r="A4" s="135"/>
      <c r="B4" s="135"/>
      <c r="C4" s="149" t="s">
        <v>93</v>
      </c>
      <c r="D4" s="150" t="s">
        <v>94</v>
      </c>
      <c r="E4" s="150" t="s">
        <v>97</v>
      </c>
      <c r="F4" s="151" t="s">
        <v>96</v>
      </c>
      <c r="G4" s="152" t="n">
        <v>1</v>
      </c>
      <c r="H4" s="152" t="n">
        <v>2</v>
      </c>
      <c r="I4" s="153" t="n">
        <f aca="false">+J4*2</f>
        <v>0</v>
      </c>
      <c r="J4" s="154" t="n">
        <f aca="false">+'Vigilante 12x36 Noturno Arm'!$D$153</f>
        <v>0</v>
      </c>
      <c r="K4" s="153" t="n">
        <f aca="false">+J4*H4</f>
        <v>0</v>
      </c>
      <c r="L4" s="153" t="n">
        <f aca="false">+K4*12</f>
        <v>0</v>
      </c>
      <c r="M4" s="172" t="n">
        <f aca="false">+L4+L3</f>
        <v>0</v>
      </c>
    </row>
    <row r="5" customFormat="false" ht="20.25" hidden="false" customHeight="true" outlineLevel="0" collapsed="false">
      <c r="A5" s="135" t="s">
        <v>147</v>
      </c>
      <c r="B5" s="135"/>
      <c r="C5" s="65" t="s">
        <v>93</v>
      </c>
      <c r="D5" s="66" t="s">
        <v>94</v>
      </c>
      <c r="E5" s="66" t="s">
        <v>95</v>
      </c>
      <c r="F5" s="67" t="s">
        <v>96</v>
      </c>
      <c r="G5" s="68" t="n">
        <v>2</v>
      </c>
      <c r="H5" s="68" t="n">
        <v>4</v>
      </c>
      <c r="I5" s="70" t="n">
        <f aca="false">+J5*2</f>
        <v>0</v>
      </c>
      <c r="J5" s="136" t="n">
        <f aca="false">+'Vigilante 12X36 Diurno Arm'!$D$153</f>
        <v>0</v>
      </c>
      <c r="K5" s="70" t="n">
        <f aca="false">+J5*H5</f>
        <v>0</v>
      </c>
      <c r="L5" s="70" t="n">
        <f aca="false">+K5*12</f>
        <v>0</v>
      </c>
      <c r="M5" s="137"/>
    </row>
    <row r="6" customFormat="false" ht="21" hidden="false" customHeight="true" outlineLevel="0" collapsed="false">
      <c r="A6" s="135"/>
      <c r="B6" s="135"/>
      <c r="C6" s="149" t="s">
        <v>93</v>
      </c>
      <c r="D6" s="150" t="s">
        <v>94</v>
      </c>
      <c r="E6" s="150" t="s">
        <v>97</v>
      </c>
      <c r="F6" s="151" t="s">
        <v>96</v>
      </c>
      <c r="G6" s="152" t="n">
        <v>2</v>
      </c>
      <c r="H6" s="152" t="n">
        <v>4</v>
      </c>
      <c r="I6" s="153" t="n">
        <f aca="false">+J6*2</f>
        <v>0</v>
      </c>
      <c r="J6" s="154" t="n">
        <f aca="false">+'Vigilante 12x36 Noturno Arm'!$D$153</f>
        <v>0</v>
      </c>
      <c r="K6" s="153" t="n">
        <f aca="false">+J6*H6</f>
        <v>0</v>
      </c>
      <c r="L6" s="153" t="n">
        <f aca="false">+K6*12</f>
        <v>0</v>
      </c>
      <c r="M6" s="172" t="n">
        <f aca="false">+L6+L5</f>
        <v>0</v>
      </c>
    </row>
    <row r="7" customFormat="false" ht="13.5" hidden="false" customHeight="true" outlineLevel="0" collapsed="false">
      <c r="A7" s="135" t="s">
        <v>148</v>
      </c>
      <c r="B7" s="135"/>
      <c r="C7" s="65" t="s">
        <v>93</v>
      </c>
      <c r="D7" s="66" t="s">
        <v>94</v>
      </c>
      <c r="E7" s="66" t="s">
        <v>95</v>
      </c>
      <c r="F7" s="67" t="s">
        <v>96</v>
      </c>
      <c r="G7" s="68" t="n">
        <v>1</v>
      </c>
      <c r="H7" s="68" t="n">
        <v>2</v>
      </c>
      <c r="I7" s="70" t="n">
        <f aca="false">+J7*2</f>
        <v>0</v>
      </c>
      <c r="J7" s="136" t="n">
        <f aca="false">+'Vigilante 12X36 Diurno Arm'!$D$153</f>
        <v>0</v>
      </c>
      <c r="K7" s="70" t="n">
        <f aca="false">+J7*H7</f>
        <v>0</v>
      </c>
      <c r="L7" s="70" t="n">
        <f aca="false">+K7*12</f>
        <v>0</v>
      </c>
      <c r="M7" s="137"/>
    </row>
    <row r="8" customFormat="false" ht="13.5" hidden="false" customHeight="false" outlineLevel="0" collapsed="false">
      <c r="A8" s="135"/>
      <c r="B8" s="135"/>
      <c r="C8" s="149" t="s">
        <v>93</v>
      </c>
      <c r="D8" s="150" t="s">
        <v>94</v>
      </c>
      <c r="E8" s="150" t="s">
        <v>97</v>
      </c>
      <c r="F8" s="151" t="s">
        <v>96</v>
      </c>
      <c r="G8" s="152" t="n">
        <v>1</v>
      </c>
      <c r="H8" s="152" t="n">
        <v>2</v>
      </c>
      <c r="I8" s="153" t="n">
        <f aca="false">+J8*2</f>
        <v>0</v>
      </c>
      <c r="J8" s="154" t="n">
        <f aca="false">+'Vigilante 12x36 Noturno Arm'!$D$153</f>
        <v>0</v>
      </c>
      <c r="K8" s="153" t="n">
        <f aca="false">+J8*H8</f>
        <v>0</v>
      </c>
      <c r="L8" s="153" t="n">
        <f aca="false">+K8*12</f>
        <v>0</v>
      </c>
      <c r="M8" s="172" t="n">
        <f aca="false">+L8+L7</f>
        <v>0</v>
      </c>
    </row>
    <row r="9" customFormat="false" ht="13.5" hidden="false" customHeight="true" outlineLevel="0" collapsed="false">
      <c r="A9" s="135" t="s">
        <v>149</v>
      </c>
      <c r="B9" s="135"/>
      <c r="C9" s="65" t="s">
        <v>93</v>
      </c>
      <c r="D9" s="66" t="s">
        <v>94</v>
      </c>
      <c r="E9" s="66" t="s">
        <v>95</v>
      </c>
      <c r="F9" s="67" t="s">
        <v>96</v>
      </c>
      <c r="G9" s="68" t="n">
        <v>1</v>
      </c>
      <c r="H9" s="68" t="n">
        <v>2</v>
      </c>
      <c r="I9" s="70" t="n">
        <f aca="false">+J9*2</f>
        <v>0</v>
      </c>
      <c r="J9" s="136" t="n">
        <f aca="false">+'Vigilante 12X36 Diurno Arm'!$D$153</f>
        <v>0</v>
      </c>
      <c r="K9" s="70" t="n">
        <f aca="false">+J9*H9</f>
        <v>0</v>
      </c>
      <c r="L9" s="70" t="n">
        <f aca="false">+K9*12</f>
        <v>0</v>
      </c>
      <c r="M9" s="137"/>
    </row>
    <row r="10" customFormat="false" ht="12.75" hidden="false" customHeight="false" outlineLevel="0" collapsed="false">
      <c r="A10" s="135"/>
      <c r="B10" s="135"/>
      <c r="C10" s="73" t="s">
        <v>93</v>
      </c>
      <c r="D10" s="74" t="s">
        <v>94</v>
      </c>
      <c r="E10" s="74" t="s">
        <v>97</v>
      </c>
      <c r="F10" s="75" t="s">
        <v>96</v>
      </c>
      <c r="G10" s="76" t="n">
        <v>2</v>
      </c>
      <c r="H10" s="76" t="n">
        <v>4</v>
      </c>
      <c r="I10" s="78" t="n">
        <f aca="false">+J10*2</f>
        <v>0</v>
      </c>
      <c r="J10" s="129" t="n">
        <f aca="false">+'Vigilante 12x36 Noturno Arm'!$D$153</f>
        <v>0</v>
      </c>
      <c r="K10" s="78" t="n">
        <f aca="false">+J10*H10</f>
        <v>0</v>
      </c>
      <c r="L10" s="78" t="n">
        <f aca="false">+K10*12</f>
        <v>0</v>
      </c>
      <c r="M10" s="138"/>
    </row>
    <row r="11" customFormat="false" ht="13.5" hidden="false" customHeight="false" outlineLevel="0" collapsed="false">
      <c r="A11" s="135"/>
      <c r="B11" s="135"/>
      <c r="C11" s="149" t="s">
        <v>93</v>
      </c>
      <c r="D11" s="150" t="s">
        <v>102</v>
      </c>
      <c r="E11" s="150" t="s">
        <v>103</v>
      </c>
      <c r="F11" s="151" t="s">
        <v>101</v>
      </c>
      <c r="G11" s="152" t="n">
        <v>1</v>
      </c>
      <c r="H11" s="152" t="n">
        <v>1</v>
      </c>
      <c r="I11" s="154" t="n">
        <f aca="false">+J11</f>
        <v>0</v>
      </c>
      <c r="J11" s="154" t="n">
        <f aca="false">+'Vigilante 44h Arm'!$D$155</f>
        <v>0</v>
      </c>
      <c r="K11" s="153" t="n">
        <f aca="false">+J11*H11</f>
        <v>0</v>
      </c>
      <c r="L11" s="153" t="n">
        <f aca="false">+K11*12</f>
        <v>0</v>
      </c>
      <c r="M11" s="172" t="n">
        <f aca="false">+L11+L10+L9</f>
        <v>0</v>
      </c>
    </row>
    <row r="12" customFormat="false" ht="13.5" hidden="false" customHeight="true" outlineLevel="0" collapsed="false">
      <c r="A12" s="135" t="s">
        <v>150</v>
      </c>
      <c r="B12" s="135"/>
      <c r="C12" s="65" t="s">
        <v>93</v>
      </c>
      <c r="D12" s="66" t="s">
        <v>94</v>
      </c>
      <c r="E12" s="66" t="s">
        <v>95</v>
      </c>
      <c r="F12" s="67" t="s">
        <v>96</v>
      </c>
      <c r="G12" s="68" t="n">
        <v>2</v>
      </c>
      <c r="H12" s="68" t="n">
        <v>4</v>
      </c>
      <c r="I12" s="70" t="n">
        <f aca="false">+J12*2</f>
        <v>0</v>
      </c>
      <c r="J12" s="136" t="n">
        <f aca="false">+'Vigilante 12X36 Diurno Arm'!$D$153</f>
        <v>0</v>
      </c>
      <c r="K12" s="70" t="n">
        <f aca="false">+J12*H12</f>
        <v>0</v>
      </c>
      <c r="L12" s="70" t="n">
        <f aca="false">+K12*12</f>
        <v>0</v>
      </c>
      <c r="M12" s="137"/>
    </row>
    <row r="13" customFormat="false" ht="13.5" hidden="false" customHeight="false" outlineLevel="0" collapsed="false">
      <c r="A13" s="135"/>
      <c r="B13" s="135"/>
      <c r="C13" s="149" t="s">
        <v>93</v>
      </c>
      <c r="D13" s="150" t="s">
        <v>94</v>
      </c>
      <c r="E13" s="150" t="s">
        <v>97</v>
      </c>
      <c r="F13" s="151" t="s">
        <v>96</v>
      </c>
      <c r="G13" s="152" t="n">
        <v>2</v>
      </c>
      <c r="H13" s="152" t="n">
        <v>4</v>
      </c>
      <c r="I13" s="153" t="n">
        <f aca="false">+J13*2</f>
        <v>0</v>
      </c>
      <c r="J13" s="154" t="n">
        <f aca="false">+'Vigilante 12x36 Noturno Arm'!$D$153</f>
        <v>0</v>
      </c>
      <c r="K13" s="153" t="n">
        <f aca="false">+J13*H13</f>
        <v>0</v>
      </c>
      <c r="L13" s="153" t="n">
        <f aca="false">+K13*12</f>
        <v>0</v>
      </c>
      <c r="M13" s="172" t="n">
        <f aca="false">+L13+L12</f>
        <v>0</v>
      </c>
    </row>
    <row r="14" customFormat="false" ht="13.5" hidden="false" customHeight="true" outlineLevel="0" collapsed="false">
      <c r="A14" s="135" t="s">
        <v>151</v>
      </c>
      <c r="B14" s="135"/>
      <c r="C14" s="65" t="s">
        <v>93</v>
      </c>
      <c r="D14" s="66" t="s">
        <v>94</v>
      </c>
      <c r="E14" s="66" t="s">
        <v>95</v>
      </c>
      <c r="F14" s="67" t="s">
        <v>96</v>
      </c>
      <c r="G14" s="68" t="n">
        <v>1</v>
      </c>
      <c r="H14" s="68" t="n">
        <v>2</v>
      </c>
      <c r="I14" s="70" t="n">
        <f aca="false">+J14*2</f>
        <v>0</v>
      </c>
      <c r="J14" s="136" t="n">
        <f aca="false">+'Vigilante 12X36 Diurno Arm'!$D$153</f>
        <v>0</v>
      </c>
      <c r="K14" s="70" t="n">
        <f aca="false">+J14*H14</f>
        <v>0</v>
      </c>
      <c r="L14" s="70" t="n">
        <f aca="false">+K14*12</f>
        <v>0</v>
      </c>
      <c r="M14" s="137"/>
    </row>
    <row r="15" customFormat="false" ht="12.75" hidden="false" customHeight="false" outlineLevel="0" collapsed="false">
      <c r="A15" s="135"/>
      <c r="B15" s="135"/>
      <c r="C15" s="73" t="s">
        <v>93</v>
      </c>
      <c r="D15" s="74" t="s">
        <v>94</v>
      </c>
      <c r="E15" s="74" t="s">
        <v>97</v>
      </c>
      <c r="F15" s="75" t="s">
        <v>96</v>
      </c>
      <c r="G15" s="76" t="n">
        <v>2</v>
      </c>
      <c r="H15" s="76" t="n">
        <v>4</v>
      </c>
      <c r="I15" s="78" t="n">
        <f aca="false">+J15*2</f>
        <v>0</v>
      </c>
      <c r="J15" s="129" t="n">
        <f aca="false">+'Vigilante 12x36 Noturno Arm'!$D$153</f>
        <v>0</v>
      </c>
      <c r="K15" s="78" t="n">
        <f aca="false">+J15*H15</f>
        <v>0</v>
      </c>
      <c r="L15" s="78" t="n">
        <f aca="false">+K15*12</f>
        <v>0</v>
      </c>
      <c r="M15" s="138"/>
    </row>
    <row r="16" customFormat="false" ht="13.5" hidden="false" customHeight="false" outlineLevel="0" collapsed="false">
      <c r="A16" s="135"/>
      <c r="B16" s="135"/>
      <c r="C16" s="149" t="s">
        <v>93</v>
      </c>
      <c r="D16" s="150" t="s">
        <v>102</v>
      </c>
      <c r="E16" s="150" t="s">
        <v>103</v>
      </c>
      <c r="F16" s="151" t="s">
        <v>101</v>
      </c>
      <c r="G16" s="152" t="n">
        <v>1</v>
      </c>
      <c r="H16" s="152" t="n">
        <v>1</v>
      </c>
      <c r="I16" s="154" t="n">
        <f aca="false">+J16</f>
        <v>0</v>
      </c>
      <c r="J16" s="154" t="n">
        <f aca="false">+'Vigilante 44h Arm'!$D$155</f>
        <v>0</v>
      </c>
      <c r="K16" s="153" t="n">
        <f aca="false">+J16*H16</f>
        <v>0</v>
      </c>
      <c r="L16" s="153" t="n">
        <f aca="false">+K16*12</f>
        <v>0</v>
      </c>
      <c r="M16" s="172" t="n">
        <f aca="false">+L16+L15+L14</f>
        <v>0</v>
      </c>
    </row>
    <row r="17" customFormat="false" ht="12.75" hidden="false" customHeight="false" outlineLevel="0" collapsed="false">
      <c r="A17" s="156" t="s">
        <v>152</v>
      </c>
      <c r="B17" s="156"/>
      <c r="C17" s="65" t="s">
        <v>93</v>
      </c>
      <c r="D17" s="66" t="s">
        <v>94</v>
      </c>
      <c r="E17" s="66" t="s">
        <v>95</v>
      </c>
      <c r="F17" s="67" t="s">
        <v>96</v>
      </c>
      <c r="G17" s="68" t="n">
        <v>1</v>
      </c>
      <c r="H17" s="68" t="n">
        <v>2</v>
      </c>
      <c r="I17" s="70" t="n">
        <f aca="false">+J17*2</f>
        <v>0</v>
      </c>
      <c r="J17" s="136" t="n">
        <f aca="false">+'Vigilante 12X36 Diurno Arm'!$D$153</f>
        <v>0</v>
      </c>
      <c r="K17" s="70" t="n">
        <f aca="false">+J17*H17</f>
        <v>0</v>
      </c>
      <c r="L17" s="70" t="n">
        <f aca="false">+K17*12</f>
        <v>0</v>
      </c>
      <c r="M17" s="137"/>
    </row>
    <row r="18" customFormat="false" ht="13.5" hidden="false" customHeight="false" outlineLevel="0" collapsed="false">
      <c r="A18" s="156"/>
      <c r="B18" s="156"/>
      <c r="C18" s="80" t="s">
        <v>93</v>
      </c>
      <c r="D18" s="81" t="s">
        <v>94</v>
      </c>
      <c r="E18" s="81" t="s">
        <v>97</v>
      </c>
      <c r="F18" s="82" t="s">
        <v>96</v>
      </c>
      <c r="G18" s="83" t="n">
        <v>1</v>
      </c>
      <c r="H18" s="83" t="n">
        <v>2</v>
      </c>
      <c r="I18" s="85" t="n">
        <f aca="false">+J18*2</f>
        <v>0</v>
      </c>
      <c r="J18" s="139" t="n">
        <f aca="false">+'Vigilante 12x36 Noturno Arm'!$D$153</f>
        <v>0</v>
      </c>
      <c r="K18" s="85" t="n">
        <f aca="false">+J18*H18</f>
        <v>0</v>
      </c>
      <c r="L18" s="85" t="n">
        <f aca="false">+K18*12</f>
        <v>0</v>
      </c>
      <c r="M18" s="173" t="n">
        <f aca="false">+L18+L17</f>
        <v>0</v>
      </c>
    </row>
    <row r="19" customFormat="false" ht="12.75" hidden="false" customHeight="false" outlineLevel="0" collapsed="false">
      <c r="A19" s="156" t="s">
        <v>153</v>
      </c>
      <c r="B19" s="156"/>
      <c r="C19" s="65" t="s">
        <v>93</v>
      </c>
      <c r="D19" s="66" t="s">
        <v>94</v>
      </c>
      <c r="E19" s="66" t="s">
        <v>95</v>
      </c>
      <c r="F19" s="67" t="s">
        <v>96</v>
      </c>
      <c r="G19" s="68" t="n">
        <v>1</v>
      </c>
      <c r="H19" s="68" t="n">
        <v>2</v>
      </c>
      <c r="I19" s="70" t="n">
        <f aca="false">+J19*2</f>
        <v>0</v>
      </c>
      <c r="J19" s="136" t="n">
        <f aca="false">+'Vigilante 12X36 Diurno Arm'!$D$153</f>
        <v>0</v>
      </c>
      <c r="K19" s="70" t="n">
        <f aca="false">+J19*H19</f>
        <v>0</v>
      </c>
      <c r="L19" s="70" t="n">
        <f aca="false">+K19*12</f>
        <v>0</v>
      </c>
      <c r="M19" s="137"/>
    </row>
    <row r="20" customFormat="false" ht="13.5" hidden="false" customHeight="false" outlineLevel="0" collapsed="false">
      <c r="A20" s="156"/>
      <c r="B20" s="156"/>
      <c r="C20" s="80" t="s">
        <v>93</v>
      </c>
      <c r="D20" s="81" t="s">
        <v>94</v>
      </c>
      <c r="E20" s="81" t="s">
        <v>97</v>
      </c>
      <c r="F20" s="82" t="s">
        <v>96</v>
      </c>
      <c r="G20" s="83" t="n">
        <v>1</v>
      </c>
      <c r="H20" s="83" t="n">
        <v>2</v>
      </c>
      <c r="I20" s="85" t="n">
        <f aca="false">+J20*2</f>
        <v>0</v>
      </c>
      <c r="J20" s="139" t="n">
        <f aca="false">+'Vigilante 12x36 Noturno Arm'!$D$153</f>
        <v>0</v>
      </c>
      <c r="K20" s="85" t="n">
        <f aca="false">+J20*H20</f>
        <v>0</v>
      </c>
      <c r="L20" s="85" t="n">
        <f aca="false">+K20*12</f>
        <v>0</v>
      </c>
      <c r="M20" s="173" t="n">
        <f aca="false">+L20+L19</f>
        <v>0</v>
      </c>
    </row>
    <row r="21" customFormat="false" ht="12.75" hidden="false" customHeight="false" outlineLevel="0" collapsed="false">
      <c r="A21" s="156" t="s">
        <v>154</v>
      </c>
      <c r="B21" s="156"/>
      <c r="C21" s="65" t="s">
        <v>93</v>
      </c>
      <c r="D21" s="66" t="s">
        <v>94</v>
      </c>
      <c r="E21" s="66" t="s">
        <v>95</v>
      </c>
      <c r="F21" s="67" t="s">
        <v>96</v>
      </c>
      <c r="G21" s="68" t="n">
        <v>1</v>
      </c>
      <c r="H21" s="68" t="n">
        <v>2</v>
      </c>
      <c r="I21" s="70" t="n">
        <f aca="false">+J21*2</f>
        <v>0</v>
      </c>
      <c r="J21" s="136" t="n">
        <f aca="false">+'Vigilante 12X36 Diurno Arm'!$D$153</f>
        <v>0</v>
      </c>
      <c r="K21" s="70" t="n">
        <f aca="false">+J21*H21</f>
        <v>0</v>
      </c>
      <c r="L21" s="70" t="n">
        <f aca="false">+K21*12</f>
        <v>0</v>
      </c>
      <c r="M21" s="137"/>
    </row>
    <row r="22" customFormat="false" ht="13.5" hidden="false" customHeight="false" outlineLevel="0" collapsed="false">
      <c r="A22" s="156"/>
      <c r="B22" s="156"/>
      <c r="C22" s="80" t="s">
        <v>93</v>
      </c>
      <c r="D22" s="81" t="s">
        <v>94</v>
      </c>
      <c r="E22" s="81" t="s">
        <v>97</v>
      </c>
      <c r="F22" s="82" t="s">
        <v>96</v>
      </c>
      <c r="G22" s="83" t="n">
        <v>1</v>
      </c>
      <c r="H22" s="83" t="n">
        <v>2</v>
      </c>
      <c r="I22" s="85" t="n">
        <f aca="false">+J22*2</f>
        <v>0</v>
      </c>
      <c r="J22" s="139" t="n">
        <f aca="false">+'Vigilante 12x36 Noturno Arm'!$D$153</f>
        <v>0</v>
      </c>
      <c r="K22" s="85" t="n">
        <f aca="false">+J22*H22</f>
        <v>0</v>
      </c>
      <c r="L22" s="85" t="n">
        <f aca="false">+K22*12</f>
        <v>0</v>
      </c>
      <c r="M22" s="173" t="n">
        <f aca="false">+L22+L21</f>
        <v>0</v>
      </c>
    </row>
    <row r="23" customFormat="false" ht="13.5" hidden="false" customHeight="false" outlineLevel="0" collapsed="false">
      <c r="G23" s="174" t="n">
        <f aca="false">SUM(G3:G22)</f>
        <v>26</v>
      </c>
      <c r="H23" s="101" t="n">
        <f aca="false">SUM(H3:H22)</f>
        <v>50</v>
      </c>
      <c r="K23" s="175" t="n">
        <f aca="false">SUM(K3:K22)</f>
        <v>0</v>
      </c>
      <c r="L23" s="176" t="n">
        <f aca="false">SUM(L3:L22)</f>
        <v>0</v>
      </c>
      <c r="M23" s="103"/>
    </row>
    <row r="25" customFormat="false" ht="60" hidden="false" customHeight="false" outlineLevel="0" collapsed="false">
      <c r="D25" s="161" t="s">
        <v>81</v>
      </c>
      <c r="E25" s="161" t="s">
        <v>82</v>
      </c>
      <c r="F25" s="161" t="s">
        <v>83</v>
      </c>
      <c r="G25" s="161" t="s">
        <v>91</v>
      </c>
      <c r="H25" s="161" t="s">
        <v>92</v>
      </c>
    </row>
    <row r="26" customFormat="false" ht="12.75" hidden="false" customHeight="false" outlineLevel="0" collapsed="false">
      <c r="B26" s="34"/>
      <c r="C26" s="177" t="s">
        <v>93</v>
      </c>
      <c r="D26" s="74" t="s">
        <v>94</v>
      </c>
      <c r="E26" s="74" t="s">
        <v>95</v>
      </c>
      <c r="F26" s="75" t="s">
        <v>96</v>
      </c>
      <c r="G26" s="76" t="n">
        <f aca="false">+G3+G5+G7+G9+G12+G14+G17+G19+G21</f>
        <v>11</v>
      </c>
      <c r="H26" s="76" t="n">
        <f aca="false">+H3+H5+H7+H9+H12+H14+H17+H19+H21</f>
        <v>22</v>
      </c>
      <c r="I26" s="34"/>
    </row>
    <row r="27" customFormat="false" ht="12.75" hidden="false" customHeight="false" outlineLevel="0" collapsed="false">
      <c r="B27" s="34"/>
      <c r="C27" s="177" t="s">
        <v>93</v>
      </c>
      <c r="D27" s="74" t="s">
        <v>94</v>
      </c>
      <c r="E27" s="74" t="s">
        <v>97</v>
      </c>
      <c r="F27" s="75" t="s">
        <v>96</v>
      </c>
      <c r="G27" s="76" t="n">
        <f aca="false">+G4+G6+G8+G10+G13+G15+G18+G20+G22</f>
        <v>13</v>
      </c>
      <c r="H27" s="76" t="n">
        <f aca="false">+H4+H6+H8+H10+H13+H15+H18+H20+H22</f>
        <v>26</v>
      </c>
      <c r="I27" s="34"/>
    </row>
    <row r="28" customFormat="false" ht="12.75" hidden="false" customHeight="false" outlineLevel="0" collapsed="false">
      <c r="B28" s="34"/>
      <c r="C28" s="177" t="s">
        <v>93</v>
      </c>
      <c r="D28" s="74" t="s">
        <v>102</v>
      </c>
      <c r="E28" s="74" t="s">
        <v>103</v>
      </c>
      <c r="F28" s="75" t="s">
        <v>101</v>
      </c>
      <c r="G28" s="76" t="n">
        <f aca="false">+G16+G11</f>
        <v>2</v>
      </c>
      <c r="H28" s="76" t="n">
        <f aca="false">+H16+H11</f>
        <v>2</v>
      </c>
      <c r="I28" s="34"/>
    </row>
    <row r="29" customFormat="false" ht="13.5" hidden="false" customHeight="false" outlineLevel="0" collapsed="false"/>
    <row r="30" customFormat="false" ht="13.5" hidden="false" customHeight="false" outlineLevel="0" collapsed="false">
      <c r="G30" s="163" t="n">
        <f aca="false">SUM(G26:G29)</f>
        <v>26</v>
      </c>
      <c r="H30" s="164" t="n">
        <f aca="false">SUM(H26:H29)</f>
        <v>50</v>
      </c>
    </row>
    <row r="32" customFormat="false" ht="12.75" hidden="false" customHeight="true" outlineLevel="0" collapsed="false">
      <c r="A32" s="165" t="s">
        <v>27</v>
      </c>
      <c r="B32" s="165"/>
      <c r="C32" s="165"/>
      <c r="D32" s="165"/>
      <c r="E32" s="165"/>
      <c r="F32" s="165"/>
      <c r="G32" s="165"/>
      <c r="H32" s="166" t="s">
        <v>28</v>
      </c>
      <c r="I32" s="121" t="s">
        <v>29</v>
      </c>
      <c r="J32" s="121"/>
      <c r="K32" s="167" t="s">
        <v>112</v>
      </c>
      <c r="L32" s="122" t="s">
        <v>113</v>
      </c>
      <c r="M32" s="122" t="s">
        <v>124</v>
      </c>
      <c r="N32" s="123" t="s">
        <v>125</v>
      </c>
    </row>
    <row r="33" customFormat="false" ht="28.5" hidden="false" customHeight="true" outlineLevel="0" collapsed="false">
      <c r="A33" s="165"/>
      <c r="B33" s="165"/>
      <c r="C33" s="165"/>
      <c r="D33" s="165"/>
      <c r="E33" s="165"/>
      <c r="F33" s="165"/>
      <c r="G33" s="165"/>
      <c r="H33" s="166"/>
      <c r="I33" s="168" t="s">
        <v>31</v>
      </c>
      <c r="J33" s="168" t="s">
        <v>32</v>
      </c>
      <c r="K33" s="167"/>
      <c r="L33" s="122"/>
      <c r="M33" s="122"/>
      <c r="N33" s="123"/>
    </row>
    <row r="34" customFormat="false" ht="25.5" hidden="false" customHeight="true" outlineLevel="0" collapsed="false">
      <c r="A34" s="20" t="s">
        <v>55</v>
      </c>
      <c r="B34" s="21" t="s">
        <v>56</v>
      </c>
      <c r="C34" s="21" t="s">
        <v>126</v>
      </c>
      <c r="D34" s="21"/>
      <c r="E34" s="21"/>
      <c r="F34" s="21"/>
      <c r="G34" s="21"/>
      <c r="H34" s="21" t="s">
        <v>38</v>
      </c>
      <c r="I34" s="128" t="n">
        <f aca="false">+G26</f>
        <v>11</v>
      </c>
      <c r="J34" s="128" t="n">
        <f aca="false">+H26</f>
        <v>22</v>
      </c>
      <c r="K34" s="78" t="n">
        <f aca="false">+L34*2</f>
        <v>0</v>
      </c>
      <c r="L34" s="129" t="n">
        <f aca="false">+'Vigilante 12X36 Diurno Arm'!$D$153</f>
        <v>0</v>
      </c>
      <c r="M34" s="78" t="n">
        <f aca="false">+L34*J34</f>
        <v>0</v>
      </c>
      <c r="N34" s="78" t="n">
        <f aca="false">+M34*12</f>
        <v>0</v>
      </c>
    </row>
    <row r="35" customFormat="false" ht="25.5" hidden="false" customHeight="true" outlineLevel="0" collapsed="false">
      <c r="A35" s="20"/>
      <c r="B35" s="21" t="s">
        <v>57</v>
      </c>
      <c r="C35" s="21" t="s">
        <v>127</v>
      </c>
      <c r="D35" s="21"/>
      <c r="E35" s="21"/>
      <c r="F35" s="21"/>
      <c r="G35" s="21"/>
      <c r="H35" s="21" t="s">
        <v>38</v>
      </c>
      <c r="I35" s="128" t="n">
        <f aca="false">+G27</f>
        <v>13</v>
      </c>
      <c r="J35" s="128" t="n">
        <f aca="false">+H27</f>
        <v>26</v>
      </c>
      <c r="K35" s="78" t="n">
        <f aca="false">+L35*2</f>
        <v>0</v>
      </c>
      <c r="L35" s="129" t="n">
        <f aca="false">+'Vigilante 12x36 Noturno Arm'!$D$153</f>
        <v>0</v>
      </c>
      <c r="M35" s="78" t="n">
        <f aca="false">+L35*J35</f>
        <v>0</v>
      </c>
      <c r="N35" s="78" t="n">
        <f aca="false">+M35*12</f>
        <v>0</v>
      </c>
    </row>
    <row r="36" customFormat="false" ht="26.25" hidden="false" customHeight="true" outlineLevel="0" collapsed="false">
      <c r="A36" s="20"/>
      <c r="B36" s="21" t="s">
        <v>58</v>
      </c>
      <c r="C36" s="21" t="s">
        <v>45</v>
      </c>
      <c r="D36" s="21"/>
      <c r="E36" s="21"/>
      <c r="F36" s="21"/>
      <c r="G36" s="21"/>
      <c r="H36" s="21" t="s">
        <v>43</v>
      </c>
      <c r="I36" s="128" t="n">
        <f aca="false">+G28</f>
        <v>2</v>
      </c>
      <c r="J36" s="128" t="n">
        <f aca="false">+H28</f>
        <v>2</v>
      </c>
      <c r="K36" s="129" t="n">
        <f aca="false">+L36</f>
        <v>0</v>
      </c>
      <c r="L36" s="129" t="n">
        <f aca="false">+'Vigilante 44h Arm'!$D$155</f>
        <v>0</v>
      </c>
      <c r="M36" s="78" t="n">
        <f aca="false">+L36*J36</f>
        <v>0</v>
      </c>
      <c r="N36" s="78" t="n">
        <f aca="false">+M36*12</f>
        <v>0</v>
      </c>
    </row>
    <row r="37" customFormat="false" ht="13.5" hidden="false" customHeight="false" outlineLevel="0" collapsed="false">
      <c r="I37" s="178" t="n">
        <f aca="false">SUM(I34:I36)</f>
        <v>26</v>
      </c>
      <c r="J37" s="178" t="n">
        <f aca="false">SUM(J34:J36)</f>
        <v>50</v>
      </c>
      <c r="M37" s="130" t="n">
        <f aca="false">SUM(M34:M36)</f>
        <v>0</v>
      </c>
      <c r="N37" s="179" t="n">
        <f aca="false">SUM(N34:N36)</f>
        <v>0</v>
      </c>
    </row>
  </sheetData>
  <mergeCells count="22">
    <mergeCell ref="A1:M1"/>
    <mergeCell ref="A2:B2"/>
    <mergeCell ref="A3:B4"/>
    <mergeCell ref="A5:B6"/>
    <mergeCell ref="A7:B8"/>
    <mergeCell ref="A9:B11"/>
    <mergeCell ref="A12:B13"/>
    <mergeCell ref="A14:B16"/>
    <mergeCell ref="A17:B18"/>
    <mergeCell ref="A19:B20"/>
    <mergeCell ref="A21:B22"/>
    <mergeCell ref="A32:G33"/>
    <mergeCell ref="H32:H33"/>
    <mergeCell ref="I32:J32"/>
    <mergeCell ref="K32:K33"/>
    <mergeCell ref="L32:L33"/>
    <mergeCell ref="M32:M33"/>
    <mergeCell ref="N32:N33"/>
    <mergeCell ref="A34:A36"/>
    <mergeCell ref="C34:G34"/>
    <mergeCell ref="C35:G35"/>
    <mergeCell ref="C36:G36"/>
  </mergeCells>
  <printOptions headings="false" gridLines="false" gridLinesSet="true" horizontalCentered="false" verticalCentered="false"/>
  <pageMargins left="0.0784722222222222" right="0.0784722222222222" top="0.7875" bottom="0.7875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3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1" activeCellId="0" sqref="F41"/>
    </sheetView>
  </sheetViews>
  <sheetFormatPr defaultRowHeight="12.75" zeroHeight="false" outlineLevelRow="0" outlineLevelCol="0"/>
  <cols>
    <col collapsed="false" customWidth="true" hidden="false" outlineLevel="0" max="1" min="1" style="0" width="8.59"/>
    <col collapsed="false" customWidth="true" hidden="false" outlineLevel="0" max="2" min="2" style="0" width="16.5"/>
    <col collapsed="false" customWidth="true" hidden="false" outlineLevel="0" max="4" min="3" style="0" width="8.59"/>
    <col collapsed="false" customWidth="true" hidden="false" outlineLevel="0" max="5" min="5" style="0" width="11.13"/>
    <col collapsed="false" customWidth="true" hidden="false" outlineLevel="0" max="6" min="6" style="0" width="17.5"/>
    <col collapsed="false" customWidth="true" hidden="false" outlineLevel="0" max="7" min="7" style="0" width="8.59"/>
    <col collapsed="false" customWidth="true" hidden="false" outlineLevel="0" max="8" min="8" style="0" width="10.88"/>
    <col collapsed="false" customWidth="true" hidden="false" outlineLevel="0" max="9" min="9" style="0" width="11.75"/>
    <col collapsed="false" customWidth="true" hidden="false" outlineLevel="0" max="10" min="10" style="0" width="11.88"/>
    <col collapsed="false" customWidth="true" hidden="false" outlineLevel="0" max="11" min="11" style="0" width="15.88"/>
    <col collapsed="false" customWidth="true" hidden="false" outlineLevel="0" max="12" min="12" style="0" width="18.5"/>
    <col collapsed="false" customWidth="true" hidden="false" outlineLevel="0" max="13" min="13" style="0" width="15.63"/>
    <col collapsed="false" customWidth="true" hidden="false" outlineLevel="0" max="14" min="14" style="0" width="19.13"/>
    <col collapsed="false" customWidth="true" hidden="false" outlineLevel="0" max="1025" min="15" style="0" width="8.59"/>
  </cols>
  <sheetData>
    <row r="1" customFormat="false" ht="15" hidden="false" customHeight="true" outlineLevel="0" collapsed="false">
      <c r="A1" s="171" t="s">
        <v>155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customFormat="false" ht="60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2.75" hidden="false" customHeight="true" outlineLevel="0" collapsed="false">
      <c r="A3" s="135" t="s">
        <v>156</v>
      </c>
      <c r="B3" s="135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5</v>
      </c>
      <c r="H3" s="68" t="n">
        <v>10</v>
      </c>
      <c r="I3" s="70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2.75" hidden="false" customHeight="false" outlineLevel="0" collapsed="false">
      <c r="A4" s="135"/>
      <c r="B4" s="135"/>
      <c r="C4" s="73" t="s">
        <v>93</v>
      </c>
      <c r="D4" s="74" t="s">
        <v>94</v>
      </c>
      <c r="E4" s="74" t="s">
        <v>97</v>
      </c>
      <c r="F4" s="75" t="s">
        <v>96</v>
      </c>
      <c r="G4" s="76" t="n">
        <v>5</v>
      </c>
      <c r="H4" s="76" t="n">
        <v>10</v>
      </c>
      <c r="I4" s="78" t="n">
        <f aca="false">+J4*2</f>
        <v>0</v>
      </c>
      <c r="J4" s="129" t="n">
        <f aca="false">+'Vigilante 12x36 Noturno Arm'!$D$153</f>
        <v>0</v>
      </c>
      <c r="K4" s="78" t="n">
        <f aca="false">+J4*H4</f>
        <v>0</v>
      </c>
      <c r="L4" s="78" t="n">
        <f aca="false">+K4*12</f>
        <v>0</v>
      </c>
      <c r="M4" s="138"/>
    </row>
    <row r="5" customFormat="false" ht="13.5" hidden="false" customHeight="false" outlineLevel="0" collapsed="false">
      <c r="A5" s="135"/>
      <c r="B5" s="135"/>
      <c r="C5" s="80" t="s">
        <v>93</v>
      </c>
      <c r="D5" s="81" t="s">
        <v>157</v>
      </c>
      <c r="E5" s="81" t="s">
        <v>100</v>
      </c>
      <c r="F5" s="82" t="s">
        <v>101</v>
      </c>
      <c r="G5" s="83" t="n">
        <v>5</v>
      </c>
      <c r="H5" s="83" t="n">
        <v>5</v>
      </c>
      <c r="I5" s="85" t="n">
        <f aca="false">+J5</f>
        <v>0</v>
      </c>
      <c r="J5" s="139" t="n">
        <f aca="false">+'Vigilante 5x2 12h Arm'!$D$156</f>
        <v>0</v>
      </c>
      <c r="K5" s="85" t="n">
        <f aca="false">+J5*H5</f>
        <v>0</v>
      </c>
      <c r="L5" s="85" t="n">
        <f aca="false">+K5*12</f>
        <v>0</v>
      </c>
      <c r="M5" s="173" t="n">
        <f aca="false">+L5+L4+L3</f>
        <v>0</v>
      </c>
    </row>
    <row r="6" customFormat="false" ht="15" hidden="false" customHeight="true" outlineLevel="0" collapsed="false">
      <c r="A6" s="157" t="s">
        <v>158</v>
      </c>
      <c r="B6" s="157"/>
      <c r="C6" s="180" t="s">
        <v>98</v>
      </c>
      <c r="D6" s="181" t="s">
        <v>94</v>
      </c>
      <c r="E6" s="181" t="s">
        <v>95</v>
      </c>
      <c r="F6" s="182" t="s">
        <v>96</v>
      </c>
      <c r="G6" s="183" t="n">
        <v>2</v>
      </c>
      <c r="H6" s="184" t="n">
        <v>4</v>
      </c>
      <c r="I6" s="185" t="n">
        <f aca="false">+J6*2</f>
        <v>0</v>
      </c>
      <c r="J6" s="186" t="n">
        <f aca="false">+'Vigilante 12x36 Diurno Des'!$D$153</f>
        <v>0</v>
      </c>
      <c r="K6" s="185" t="n">
        <f aca="false">+J6*H6</f>
        <v>0</v>
      </c>
      <c r="L6" s="185" t="n">
        <f aca="false">+K6*12</f>
        <v>0</v>
      </c>
      <c r="M6" s="187" t="n">
        <f aca="false">+L6</f>
        <v>0</v>
      </c>
    </row>
    <row r="7" customFormat="false" ht="12.75" hidden="false" customHeight="true" outlineLevel="0" collapsed="false">
      <c r="A7" s="135" t="s">
        <v>159</v>
      </c>
      <c r="B7" s="135"/>
      <c r="C7" s="65" t="s">
        <v>93</v>
      </c>
      <c r="D7" s="66" t="s">
        <v>94</v>
      </c>
      <c r="E7" s="66" t="s">
        <v>95</v>
      </c>
      <c r="F7" s="67" t="s">
        <v>96</v>
      </c>
      <c r="G7" s="68" t="n">
        <v>1</v>
      </c>
      <c r="H7" s="68" t="n">
        <v>2</v>
      </c>
      <c r="I7" s="70" t="n">
        <f aca="false">+J7*2</f>
        <v>0</v>
      </c>
      <c r="J7" s="136" t="n">
        <f aca="false">+'Vigilante 12X36 Diurno Arm'!$D$153</f>
        <v>0</v>
      </c>
      <c r="K7" s="70" t="n">
        <f aca="false">+J7*H7</f>
        <v>0</v>
      </c>
      <c r="L7" s="70" t="n">
        <f aca="false">+K7*12</f>
        <v>0</v>
      </c>
      <c r="M7" s="137"/>
    </row>
    <row r="8" customFormat="false" ht="13.5" hidden="false" customHeight="false" outlineLevel="0" collapsed="false">
      <c r="A8" s="135"/>
      <c r="B8" s="135"/>
      <c r="C8" s="149" t="s">
        <v>93</v>
      </c>
      <c r="D8" s="150" t="s">
        <v>94</v>
      </c>
      <c r="E8" s="150" t="s">
        <v>97</v>
      </c>
      <c r="F8" s="151" t="s">
        <v>96</v>
      </c>
      <c r="G8" s="152" t="n">
        <v>2</v>
      </c>
      <c r="H8" s="152" t="n">
        <v>4</v>
      </c>
      <c r="I8" s="153" t="n">
        <f aca="false">+J8*2</f>
        <v>0</v>
      </c>
      <c r="J8" s="154" t="n">
        <f aca="false">+'Vigilante 12x36 Noturno Arm'!$D$153</f>
        <v>0</v>
      </c>
      <c r="K8" s="153" t="n">
        <f aca="false">+J8*H8</f>
        <v>0</v>
      </c>
      <c r="L8" s="153" t="n">
        <f aca="false">+K8*12</f>
        <v>0</v>
      </c>
      <c r="M8" s="172" t="n">
        <f aca="false">+L8+L7</f>
        <v>0</v>
      </c>
    </row>
    <row r="9" customFormat="false" ht="12.75" hidden="false" customHeight="true" outlineLevel="0" collapsed="false">
      <c r="A9" s="135" t="s">
        <v>160</v>
      </c>
      <c r="B9" s="135"/>
      <c r="C9" s="65" t="s">
        <v>93</v>
      </c>
      <c r="D9" s="66" t="s">
        <v>94</v>
      </c>
      <c r="E9" s="66" t="s">
        <v>95</v>
      </c>
      <c r="F9" s="67" t="s">
        <v>96</v>
      </c>
      <c r="G9" s="68" t="n">
        <v>2</v>
      </c>
      <c r="H9" s="68" t="n">
        <v>4</v>
      </c>
      <c r="I9" s="70" t="n">
        <f aca="false">+J9*2</f>
        <v>0</v>
      </c>
      <c r="J9" s="136" t="n">
        <f aca="false">+'Vigilante 12X36 Diurno Arm'!$D$153</f>
        <v>0</v>
      </c>
      <c r="K9" s="70" t="n">
        <f aca="false">+J9*H9</f>
        <v>0</v>
      </c>
      <c r="L9" s="70" t="n">
        <f aca="false">+K9*12</f>
        <v>0</v>
      </c>
      <c r="M9" s="137"/>
    </row>
    <row r="10" customFormat="false" ht="13.5" hidden="false" customHeight="false" outlineLevel="0" collapsed="false">
      <c r="A10" s="135"/>
      <c r="B10" s="135"/>
      <c r="C10" s="149" t="s">
        <v>93</v>
      </c>
      <c r="D10" s="150" t="s">
        <v>94</v>
      </c>
      <c r="E10" s="150" t="s">
        <v>97</v>
      </c>
      <c r="F10" s="151" t="s">
        <v>96</v>
      </c>
      <c r="G10" s="152" t="n">
        <v>2</v>
      </c>
      <c r="H10" s="152" t="n">
        <v>4</v>
      </c>
      <c r="I10" s="153" t="n">
        <f aca="false">+J10*2</f>
        <v>0</v>
      </c>
      <c r="J10" s="154" t="n">
        <f aca="false">+'Vigilante 12x36 Noturno Arm'!$D$153</f>
        <v>0</v>
      </c>
      <c r="K10" s="153" t="n">
        <f aca="false">+J10*H10</f>
        <v>0</v>
      </c>
      <c r="L10" s="153" t="n">
        <f aca="false">+K10*12</f>
        <v>0</v>
      </c>
      <c r="M10" s="172" t="n">
        <f aca="false">+L10+L9</f>
        <v>0</v>
      </c>
    </row>
    <row r="11" customFormat="false" ht="12.75" hidden="false" customHeight="true" outlineLevel="0" collapsed="false">
      <c r="A11" s="135" t="s">
        <v>161</v>
      </c>
      <c r="B11" s="135"/>
      <c r="C11" s="65" t="s">
        <v>93</v>
      </c>
      <c r="D11" s="66" t="s">
        <v>94</v>
      </c>
      <c r="E11" s="66" t="s">
        <v>95</v>
      </c>
      <c r="F11" s="67" t="s">
        <v>96</v>
      </c>
      <c r="G11" s="68" t="n">
        <v>3</v>
      </c>
      <c r="H11" s="68" t="n">
        <v>6</v>
      </c>
      <c r="I11" s="70" t="n">
        <f aca="false">+J11*2</f>
        <v>0</v>
      </c>
      <c r="J11" s="136" t="n">
        <f aca="false">+'Vigilante 12X36 Diurno Arm'!$D$153</f>
        <v>0</v>
      </c>
      <c r="K11" s="70" t="n">
        <f aca="false">+J11*H11</f>
        <v>0</v>
      </c>
      <c r="L11" s="70" t="n">
        <f aca="false">+K11*12</f>
        <v>0</v>
      </c>
      <c r="M11" s="137"/>
    </row>
    <row r="12" customFormat="false" ht="13.5" hidden="false" customHeight="false" outlineLevel="0" collapsed="false">
      <c r="A12" s="135"/>
      <c r="B12" s="135"/>
      <c r="C12" s="149" t="s">
        <v>93</v>
      </c>
      <c r="D12" s="150" t="s">
        <v>94</v>
      </c>
      <c r="E12" s="150" t="s">
        <v>97</v>
      </c>
      <c r="F12" s="151" t="s">
        <v>96</v>
      </c>
      <c r="G12" s="152" t="n">
        <v>3</v>
      </c>
      <c r="H12" s="152" t="n">
        <v>6</v>
      </c>
      <c r="I12" s="153" t="n">
        <f aca="false">+J12*2</f>
        <v>0</v>
      </c>
      <c r="J12" s="154" t="n">
        <f aca="false">+'Vigilante 12x36 Noturno Arm'!$D$153</f>
        <v>0</v>
      </c>
      <c r="K12" s="153" t="n">
        <f aca="false">+J12*H12</f>
        <v>0</v>
      </c>
      <c r="L12" s="153" t="n">
        <f aca="false">+K12*12</f>
        <v>0</v>
      </c>
      <c r="M12" s="172" t="n">
        <f aca="false">+L12+L11</f>
        <v>0</v>
      </c>
    </row>
    <row r="13" customFormat="false" ht="12.75" hidden="false" customHeight="true" outlineLevel="0" collapsed="false">
      <c r="A13" s="135" t="s">
        <v>162</v>
      </c>
      <c r="B13" s="135"/>
      <c r="C13" s="65" t="s">
        <v>93</v>
      </c>
      <c r="D13" s="66" t="s">
        <v>94</v>
      </c>
      <c r="E13" s="66" t="s">
        <v>95</v>
      </c>
      <c r="F13" s="67" t="s">
        <v>96</v>
      </c>
      <c r="G13" s="68" t="n">
        <v>3</v>
      </c>
      <c r="H13" s="68" t="n">
        <v>6</v>
      </c>
      <c r="I13" s="70" t="n">
        <f aca="false">+J13*2</f>
        <v>0</v>
      </c>
      <c r="J13" s="136" t="n">
        <f aca="false">+'Vigilante 12X36 Diurno Arm'!$D$153</f>
        <v>0</v>
      </c>
      <c r="K13" s="70" t="n">
        <f aca="false">+J13*H13</f>
        <v>0</v>
      </c>
      <c r="L13" s="70" t="n">
        <f aca="false">+K13*12</f>
        <v>0</v>
      </c>
      <c r="M13" s="137"/>
    </row>
    <row r="14" customFormat="false" ht="13.5" hidden="false" customHeight="false" outlineLevel="0" collapsed="false">
      <c r="A14" s="135"/>
      <c r="B14" s="135"/>
      <c r="C14" s="149" t="s">
        <v>93</v>
      </c>
      <c r="D14" s="150" t="s">
        <v>94</v>
      </c>
      <c r="E14" s="150" t="s">
        <v>97</v>
      </c>
      <c r="F14" s="151" t="s">
        <v>96</v>
      </c>
      <c r="G14" s="152" t="n">
        <v>3</v>
      </c>
      <c r="H14" s="152" t="n">
        <v>6</v>
      </c>
      <c r="I14" s="153" t="n">
        <f aca="false">+J14*2</f>
        <v>0</v>
      </c>
      <c r="J14" s="154" t="n">
        <f aca="false">+'Vigilante 12x36 Noturno Arm'!$D$153</f>
        <v>0</v>
      </c>
      <c r="K14" s="153" t="n">
        <f aca="false">+J14*H14</f>
        <v>0</v>
      </c>
      <c r="L14" s="153" t="n">
        <f aca="false">+K14*12</f>
        <v>0</v>
      </c>
      <c r="M14" s="172" t="n">
        <f aca="false">+L14+L13</f>
        <v>0</v>
      </c>
    </row>
    <row r="15" customFormat="false" ht="18" hidden="false" customHeight="true" outlineLevel="0" collapsed="false">
      <c r="A15" s="135" t="s">
        <v>163</v>
      </c>
      <c r="B15" s="135"/>
      <c r="C15" s="65" t="s">
        <v>93</v>
      </c>
      <c r="D15" s="66" t="s">
        <v>94</v>
      </c>
      <c r="E15" s="66" t="s">
        <v>95</v>
      </c>
      <c r="F15" s="67" t="s">
        <v>96</v>
      </c>
      <c r="G15" s="68" t="n">
        <v>4</v>
      </c>
      <c r="H15" s="68" t="n">
        <v>8</v>
      </c>
      <c r="I15" s="70" t="n">
        <f aca="false">+J15*2</f>
        <v>0</v>
      </c>
      <c r="J15" s="136" t="n">
        <f aca="false">+'Vigilante 12X36 Diurno Arm'!$D$153</f>
        <v>0</v>
      </c>
      <c r="K15" s="70" t="n">
        <f aca="false">+J15*H15</f>
        <v>0</v>
      </c>
      <c r="L15" s="70" t="n">
        <f aca="false">+K15*12</f>
        <v>0</v>
      </c>
      <c r="M15" s="137"/>
    </row>
    <row r="16" customFormat="false" ht="18" hidden="false" customHeight="true" outlineLevel="0" collapsed="false">
      <c r="A16" s="135"/>
      <c r="B16" s="135"/>
      <c r="C16" s="73" t="s">
        <v>93</v>
      </c>
      <c r="D16" s="74" t="s">
        <v>94</v>
      </c>
      <c r="E16" s="74" t="s">
        <v>97</v>
      </c>
      <c r="F16" s="75" t="s">
        <v>96</v>
      </c>
      <c r="G16" s="76" t="n">
        <v>4</v>
      </c>
      <c r="H16" s="76" t="n">
        <v>8</v>
      </c>
      <c r="I16" s="78" t="n">
        <f aca="false">+J16*2</f>
        <v>0</v>
      </c>
      <c r="J16" s="129" t="n">
        <f aca="false">+'Vigilante 12x36 Noturno Arm'!$D$153</f>
        <v>0</v>
      </c>
      <c r="K16" s="78" t="n">
        <f aca="false">+J16*H16</f>
        <v>0</v>
      </c>
      <c r="L16" s="78" t="n">
        <f aca="false">+K16*12</f>
        <v>0</v>
      </c>
      <c r="M16" s="138"/>
    </row>
    <row r="17" customFormat="false" ht="18" hidden="false" customHeight="true" outlineLevel="0" collapsed="false">
      <c r="A17" s="135"/>
      <c r="B17" s="135"/>
      <c r="C17" s="80" t="s">
        <v>93</v>
      </c>
      <c r="D17" s="81" t="s">
        <v>102</v>
      </c>
      <c r="E17" s="81" t="s">
        <v>103</v>
      </c>
      <c r="F17" s="82" t="s">
        <v>101</v>
      </c>
      <c r="G17" s="83" t="n">
        <v>3</v>
      </c>
      <c r="H17" s="83" t="n">
        <v>3</v>
      </c>
      <c r="I17" s="85" t="n">
        <f aca="false">+J17</f>
        <v>0</v>
      </c>
      <c r="J17" s="139" t="n">
        <f aca="false">+'Vigilante 44h Arm'!$D$155</f>
        <v>0</v>
      </c>
      <c r="K17" s="85" t="n">
        <f aca="false">+J17*H17</f>
        <v>0</v>
      </c>
      <c r="L17" s="85" t="n">
        <f aca="false">+K17*12</f>
        <v>0</v>
      </c>
      <c r="M17" s="173" t="n">
        <f aca="false">+L17+L16+L15</f>
        <v>0</v>
      </c>
    </row>
    <row r="18" customFormat="false" ht="13.5" hidden="false" customHeight="false" outlineLevel="0" collapsed="false">
      <c r="G18" s="188" t="n">
        <f aca="false">SUM(G3:G17)</f>
        <v>47</v>
      </c>
      <c r="H18" s="189" t="n">
        <f aca="false">SUM(H3:H17)</f>
        <v>86</v>
      </c>
      <c r="K18" s="190" t="n">
        <f aca="false">SUM(K3:K17)</f>
        <v>0</v>
      </c>
      <c r="L18" s="191" t="n">
        <f aca="false">+K18*12</f>
        <v>0</v>
      </c>
    </row>
    <row r="19" customFormat="false" ht="12.75" hidden="false" customHeight="false" outlineLevel="0" collapsed="false">
      <c r="K19" s="103"/>
      <c r="L19" s="192"/>
    </row>
    <row r="20" customFormat="false" ht="60" hidden="false" customHeight="false" outlineLevel="0" collapsed="false">
      <c r="D20" s="161" t="s">
        <v>81</v>
      </c>
      <c r="E20" s="161" t="s">
        <v>82</v>
      </c>
      <c r="F20" s="161" t="s">
        <v>83</v>
      </c>
      <c r="G20" s="161" t="s">
        <v>91</v>
      </c>
      <c r="H20" s="161" t="s">
        <v>92</v>
      </c>
    </row>
    <row r="21" customFormat="false" ht="12.75" hidden="false" customHeight="false" outlineLevel="0" collapsed="false">
      <c r="B21" s="162"/>
      <c r="C21" s="112" t="s">
        <v>93</v>
      </c>
      <c r="D21" s="113" t="s">
        <v>94</v>
      </c>
      <c r="E21" s="113" t="s">
        <v>95</v>
      </c>
      <c r="F21" s="114" t="s">
        <v>96</v>
      </c>
      <c r="G21" s="115" t="n">
        <f aca="false">+G3+G13+G15+G7+G9+G11</f>
        <v>18</v>
      </c>
      <c r="H21" s="115" t="n">
        <f aca="false">+H3+H13+H15+H7+H9+H11</f>
        <v>36</v>
      </c>
    </row>
    <row r="22" customFormat="false" ht="12.75" hidden="false" customHeight="false" outlineLevel="0" collapsed="false">
      <c r="B22" s="162"/>
      <c r="C22" s="112" t="s">
        <v>93</v>
      </c>
      <c r="D22" s="113" t="s">
        <v>94</v>
      </c>
      <c r="E22" s="113" t="s">
        <v>97</v>
      </c>
      <c r="F22" s="114" t="s">
        <v>96</v>
      </c>
      <c r="G22" s="115" t="n">
        <f aca="false">+G4+G14+G16+G8+G10+G12</f>
        <v>19</v>
      </c>
      <c r="H22" s="115" t="n">
        <f aca="false">+H4+H14+H16+H8+H10+H12</f>
        <v>38</v>
      </c>
    </row>
    <row r="23" customFormat="false" ht="12.75" hidden="false" customHeight="false" outlineLevel="0" collapsed="false">
      <c r="B23" s="162"/>
      <c r="C23" s="112" t="s">
        <v>93</v>
      </c>
      <c r="D23" s="113" t="s">
        <v>157</v>
      </c>
      <c r="E23" s="113" t="s">
        <v>95</v>
      </c>
      <c r="F23" s="114" t="s">
        <v>101</v>
      </c>
      <c r="G23" s="115" t="n">
        <f aca="false">+G5</f>
        <v>5</v>
      </c>
      <c r="H23" s="115" t="n">
        <f aca="false">+H5</f>
        <v>5</v>
      </c>
    </row>
    <row r="24" customFormat="false" ht="12.75" hidden="false" customHeight="false" outlineLevel="0" collapsed="false">
      <c r="B24" s="162"/>
      <c r="C24" s="112" t="s">
        <v>93</v>
      </c>
      <c r="D24" s="113" t="s">
        <v>102</v>
      </c>
      <c r="E24" s="113" t="s">
        <v>103</v>
      </c>
      <c r="F24" s="114" t="s">
        <v>101</v>
      </c>
      <c r="G24" s="115" t="n">
        <f aca="false">+G17</f>
        <v>3</v>
      </c>
      <c r="H24" s="115" t="n">
        <f aca="false">+H17</f>
        <v>3</v>
      </c>
    </row>
    <row r="25" customFormat="false" ht="4.5" hidden="false" customHeight="true" outlineLevel="0" collapsed="false">
      <c r="B25" s="162"/>
      <c r="C25" s="162"/>
      <c r="D25" s="162"/>
      <c r="E25" s="162"/>
      <c r="F25" s="162"/>
      <c r="G25" s="162"/>
      <c r="H25" s="162"/>
    </row>
    <row r="26" customFormat="false" ht="13.5" hidden="false" customHeight="false" outlineLevel="0" collapsed="false">
      <c r="B26" s="162"/>
      <c r="C26" s="112" t="s">
        <v>98</v>
      </c>
      <c r="D26" s="113" t="s">
        <v>94</v>
      </c>
      <c r="E26" s="113" t="s">
        <v>100</v>
      </c>
      <c r="F26" s="114" t="s">
        <v>96</v>
      </c>
      <c r="G26" s="115" t="n">
        <f aca="false">+G6</f>
        <v>2</v>
      </c>
      <c r="H26" s="115" t="n">
        <f aca="false">+H6</f>
        <v>4</v>
      </c>
    </row>
    <row r="27" customFormat="false" ht="13.5" hidden="false" customHeight="false" outlineLevel="0" collapsed="false">
      <c r="G27" s="163" t="n">
        <f aca="false">SUM(G21:G26)</f>
        <v>47</v>
      </c>
      <c r="H27" s="163" t="n">
        <f aca="false">SUM(H21:H26)</f>
        <v>86</v>
      </c>
    </row>
    <row r="29" customFormat="false" ht="12.75" hidden="false" customHeight="true" outlineLevel="0" collapsed="false">
      <c r="A29" s="165" t="s">
        <v>27</v>
      </c>
      <c r="B29" s="165"/>
      <c r="C29" s="165"/>
      <c r="D29" s="165"/>
      <c r="E29" s="165"/>
      <c r="F29" s="165"/>
      <c r="G29" s="165"/>
      <c r="H29" s="166" t="s">
        <v>28</v>
      </c>
      <c r="I29" s="121" t="s">
        <v>29</v>
      </c>
      <c r="J29" s="121"/>
      <c r="K29" s="167" t="s">
        <v>112</v>
      </c>
      <c r="L29" s="122" t="s">
        <v>113</v>
      </c>
      <c r="M29" s="122" t="s">
        <v>124</v>
      </c>
      <c r="N29" s="123" t="s">
        <v>125</v>
      </c>
    </row>
    <row r="30" customFormat="false" ht="12.75" hidden="false" customHeight="false" outlineLevel="0" collapsed="false">
      <c r="A30" s="165"/>
      <c r="B30" s="165"/>
      <c r="C30" s="165"/>
      <c r="D30" s="165"/>
      <c r="E30" s="165"/>
      <c r="F30" s="165"/>
      <c r="G30" s="165"/>
      <c r="H30" s="166"/>
      <c r="I30" s="168" t="s">
        <v>31</v>
      </c>
      <c r="J30" s="168" t="s">
        <v>32</v>
      </c>
      <c r="K30" s="167"/>
      <c r="L30" s="122"/>
      <c r="M30" s="122"/>
      <c r="N30" s="123"/>
    </row>
    <row r="31" customFormat="false" ht="25.5" hidden="false" customHeight="true" outlineLevel="0" collapsed="false">
      <c r="A31" s="20" t="s">
        <v>59</v>
      </c>
      <c r="B31" s="21" t="s">
        <v>60</v>
      </c>
      <c r="C31" s="21" t="s">
        <v>126</v>
      </c>
      <c r="D31" s="21"/>
      <c r="E31" s="21"/>
      <c r="F31" s="21"/>
      <c r="G31" s="21"/>
      <c r="H31" s="21" t="s">
        <v>38</v>
      </c>
      <c r="I31" s="128" t="n">
        <f aca="false">+G21</f>
        <v>18</v>
      </c>
      <c r="J31" s="128" t="n">
        <f aca="false">+H21</f>
        <v>36</v>
      </c>
      <c r="K31" s="78" t="n">
        <f aca="false">+L31*2</f>
        <v>0</v>
      </c>
      <c r="L31" s="129" t="n">
        <f aca="false">+'Vigilante 12X36 Diurno Arm'!$D$153</f>
        <v>0</v>
      </c>
      <c r="M31" s="78" t="n">
        <f aca="false">+L31*J31</f>
        <v>0</v>
      </c>
      <c r="N31" s="78" t="n">
        <f aca="false">+M31*12</f>
        <v>0</v>
      </c>
    </row>
    <row r="32" customFormat="false" ht="25.5" hidden="false" customHeight="true" outlineLevel="0" collapsed="false">
      <c r="A32" s="20"/>
      <c r="B32" s="21" t="s">
        <v>61</v>
      </c>
      <c r="C32" s="21" t="s">
        <v>127</v>
      </c>
      <c r="D32" s="21"/>
      <c r="E32" s="21"/>
      <c r="F32" s="21"/>
      <c r="G32" s="21"/>
      <c r="H32" s="21" t="s">
        <v>38</v>
      </c>
      <c r="I32" s="128" t="n">
        <f aca="false">+G22</f>
        <v>19</v>
      </c>
      <c r="J32" s="128" t="n">
        <f aca="false">+H22</f>
        <v>38</v>
      </c>
      <c r="K32" s="78" t="n">
        <f aca="false">+L32*2</f>
        <v>0</v>
      </c>
      <c r="L32" s="129" t="n">
        <f aca="false">+'Vigilante 12x36 Noturno Arm'!$D$153</f>
        <v>0</v>
      </c>
      <c r="M32" s="78" t="n">
        <f aca="false">+L32*J32</f>
        <v>0</v>
      </c>
      <c r="N32" s="78" t="n">
        <f aca="false">+M32*12</f>
        <v>0</v>
      </c>
    </row>
    <row r="33" customFormat="false" ht="25.5" hidden="false" customHeight="true" outlineLevel="0" collapsed="false">
      <c r="A33" s="20"/>
      <c r="B33" s="21" t="s">
        <v>62</v>
      </c>
      <c r="C33" s="21" t="s">
        <v>42</v>
      </c>
      <c r="D33" s="21"/>
      <c r="E33" s="21"/>
      <c r="F33" s="21"/>
      <c r="G33" s="21"/>
      <c r="H33" s="21" t="s">
        <v>43</v>
      </c>
      <c r="I33" s="128" t="n">
        <f aca="false">+G23</f>
        <v>5</v>
      </c>
      <c r="J33" s="128" t="n">
        <f aca="false">+H23</f>
        <v>5</v>
      </c>
      <c r="K33" s="129" t="n">
        <f aca="false">+L33</f>
        <v>0</v>
      </c>
      <c r="L33" s="129" t="n">
        <f aca="false">+'Vigilante 5x2 12h Arm'!$D$156</f>
        <v>0</v>
      </c>
      <c r="M33" s="78" t="n">
        <f aca="false">+L33*J33</f>
        <v>0</v>
      </c>
      <c r="N33" s="78" t="n">
        <f aca="false">+M33*12</f>
        <v>0</v>
      </c>
    </row>
    <row r="34" customFormat="false" ht="25.5" hidden="false" customHeight="true" outlineLevel="0" collapsed="false">
      <c r="A34" s="20"/>
      <c r="B34" s="21" t="s">
        <v>63</v>
      </c>
      <c r="C34" s="21" t="s">
        <v>45</v>
      </c>
      <c r="D34" s="21"/>
      <c r="E34" s="21"/>
      <c r="F34" s="21"/>
      <c r="G34" s="21"/>
      <c r="H34" s="21" t="s">
        <v>43</v>
      </c>
      <c r="I34" s="128" t="n">
        <f aca="false">+G24</f>
        <v>3</v>
      </c>
      <c r="J34" s="128" t="n">
        <f aca="false">+H24</f>
        <v>3</v>
      </c>
      <c r="K34" s="129" t="n">
        <f aca="false">+L34</f>
        <v>0</v>
      </c>
      <c r="L34" s="129" t="n">
        <f aca="false">+'Vigilante 44h Arm'!$D$155</f>
        <v>0</v>
      </c>
      <c r="M34" s="78" t="n">
        <f aca="false">+L34*J34</f>
        <v>0</v>
      </c>
      <c r="N34" s="78" t="n">
        <f aca="false">+M34*12</f>
        <v>0</v>
      </c>
    </row>
    <row r="35" customFormat="false" ht="26.25" hidden="false" customHeight="true" outlineLevel="0" collapsed="false">
      <c r="A35" s="20"/>
      <c r="B35" s="21" t="s">
        <v>64</v>
      </c>
      <c r="C35" s="21" t="s">
        <v>143</v>
      </c>
      <c r="D35" s="21"/>
      <c r="E35" s="21"/>
      <c r="F35" s="21"/>
      <c r="G35" s="21"/>
      <c r="H35" s="21" t="s">
        <v>38</v>
      </c>
      <c r="I35" s="128" t="n">
        <f aca="false">+G26</f>
        <v>2</v>
      </c>
      <c r="J35" s="128" t="n">
        <f aca="false">+H26</f>
        <v>4</v>
      </c>
      <c r="K35" s="78" t="n">
        <f aca="false">+L35*2</f>
        <v>0</v>
      </c>
      <c r="L35" s="129" t="n">
        <f aca="false">+'Vigilante 12x36 Diurno Des'!$D$153</f>
        <v>0</v>
      </c>
      <c r="M35" s="78" t="n">
        <f aca="false">+L35*J35</f>
        <v>0</v>
      </c>
      <c r="N35" s="78" t="n">
        <f aca="false">+M35*12</f>
        <v>0</v>
      </c>
    </row>
    <row r="36" customFormat="false" ht="13.5" hidden="false" customHeight="false" outlineLevel="0" collapsed="false">
      <c r="I36" s="178" t="n">
        <f aca="false">SUM(I31:I35)</f>
        <v>47</v>
      </c>
      <c r="J36" s="178" t="n">
        <f aca="false">SUM(J31:J35)</f>
        <v>86</v>
      </c>
      <c r="M36" s="130" t="n">
        <f aca="false">SUM(M31:M35)</f>
        <v>0</v>
      </c>
      <c r="N36" s="179" t="n">
        <f aca="false">SUM(N31:N35)</f>
        <v>0</v>
      </c>
    </row>
  </sheetData>
  <mergeCells count="22">
    <mergeCell ref="A1:M1"/>
    <mergeCell ref="A2:B2"/>
    <mergeCell ref="A3:B5"/>
    <mergeCell ref="A6:B6"/>
    <mergeCell ref="A7:B8"/>
    <mergeCell ref="A9:B10"/>
    <mergeCell ref="A11:B12"/>
    <mergeCell ref="A13:B14"/>
    <mergeCell ref="A15:B17"/>
    <mergeCell ref="A29:G30"/>
    <mergeCell ref="H29:H30"/>
    <mergeCell ref="I29:J29"/>
    <mergeCell ref="K29:K30"/>
    <mergeCell ref="L29:L30"/>
    <mergeCell ref="M29:M30"/>
    <mergeCell ref="N29:N30"/>
    <mergeCell ref="A31:A35"/>
    <mergeCell ref="C31:G31"/>
    <mergeCell ref="C32:G32"/>
    <mergeCell ref="C33:G33"/>
    <mergeCell ref="C34:G34"/>
    <mergeCell ref="C35:G35"/>
  </mergeCells>
  <printOptions headings="false" gridLines="false" gridLinesSet="true" horizontalCentered="false" verticalCentered="false"/>
  <pageMargins left="0.129861111111111" right="0.1" top="0.970138888888889" bottom="0.7875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3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37" activeCellId="0" sqref="C37"/>
    </sheetView>
  </sheetViews>
  <sheetFormatPr defaultRowHeight="12.75" zeroHeight="false" outlineLevelRow="0" outlineLevelCol="0"/>
  <cols>
    <col collapsed="false" customWidth="true" hidden="false" outlineLevel="0" max="1" min="1" style="0" width="8.59"/>
    <col collapsed="false" customWidth="true" hidden="false" outlineLevel="0" max="2" min="2" style="0" width="16.88"/>
    <col collapsed="false" customWidth="true" hidden="false" outlineLevel="0" max="4" min="3" style="0" width="8.59"/>
    <col collapsed="false" customWidth="true" hidden="false" outlineLevel="0" max="5" min="5" style="0" width="10.88"/>
    <col collapsed="false" customWidth="true" hidden="false" outlineLevel="0" max="6" min="6" style="0" width="17.63"/>
    <col collapsed="false" customWidth="true" hidden="false" outlineLevel="0" max="7" min="7" style="0" width="8.59"/>
    <col collapsed="false" customWidth="true" hidden="false" outlineLevel="0" max="8" min="8" style="0" width="12.13"/>
    <col collapsed="false" customWidth="true" hidden="false" outlineLevel="0" max="9" min="9" style="0" width="11.75"/>
    <col collapsed="false" customWidth="true" hidden="false" outlineLevel="0" max="10" min="10" style="0" width="12.13"/>
    <col collapsed="false" customWidth="true" hidden="false" outlineLevel="0" max="11" min="11" style="0" width="15.88"/>
    <col collapsed="false" customWidth="true" hidden="false" outlineLevel="0" max="12" min="12" style="0" width="17.5"/>
    <col collapsed="false" customWidth="true" hidden="false" outlineLevel="0" max="13" min="13" style="0" width="16.75"/>
    <col collapsed="false" customWidth="true" hidden="false" outlineLevel="0" max="14" min="14" style="0" width="18.13"/>
    <col collapsed="false" customWidth="true" hidden="false" outlineLevel="0" max="1025" min="15" style="0" width="8.59"/>
  </cols>
  <sheetData>
    <row r="1" customFormat="false" ht="15" hidden="false" customHeight="true" outlineLevel="0" collapsed="false">
      <c r="A1" s="171" t="s">
        <v>164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customFormat="false" ht="45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2.75" hidden="false" customHeight="true" outlineLevel="0" collapsed="false">
      <c r="A3" s="88" t="s">
        <v>165</v>
      </c>
      <c r="B3" s="88"/>
      <c r="C3" s="193" t="s">
        <v>93</v>
      </c>
      <c r="D3" s="66" t="s">
        <v>94</v>
      </c>
      <c r="E3" s="66" t="s">
        <v>95</v>
      </c>
      <c r="F3" s="67" t="s">
        <v>96</v>
      </c>
      <c r="G3" s="68" t="n">
        <v>7</v>
      </c>
      <c r="H3" s="68" t="n">
        <v>14</v>
      </c>
      <c r="I3" s="70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2.75" hidden="false" customHeight="false" outlineLevel="0" collapsed="false">
      <c r="A4" s="88"/>
      <c r="B4" s="88"/>
      <c r="C4" s="177" t="s">
        <v>93</v>
      </c>
      <c r="D4" s="74" t="s">
        <v>94</v>
      </c>
      <c r="E4" s="74" t="s">
        <v>97</v>
      </c>
      <c r="F4" s="75" t="s">
        <v>96</v>
      </c>
      <c r="G4" s="76" t="n">
        <v>7</v>
      </c>
      <c r="H4" s="76" t="n">
        <v>14</v>
      </c>
      <c r="I4" s="78" t="n">
        <f aca="false">+J4*2</f>
        <v>0</v>
      </c>
      <c r="J4" s="129" t="n">
        <f aca="false">+'Vigilante 12x36 Noturno Arm'!$D$153</f>
        <v>0</v>
      </c>
      <c r="K4" s="78" t="n">
        <f aca="false">+J4*H4</f>
        <v>0</v>
      </c>
      <c r="L4" s="78" t="n">
        <f aca="false">+K4*12</f>
        <v>0</v>
      </c>
      <c r="M4" s="138"/>
    </row>
    <row r="5" customFormat="false" ht="13.5" hidden="false" customHeight="false" outlineLevel="0" collapsed="false">
      <c r="A5" s="88"/>
      <c r="B5" s="88"/>
      <c r="C5" s="91" t="s">
        <v>93</v>
      </c>
      <c r="D5" s="81" t="s">
        <v>157</v>
      </c>
      <c r="E5" s="81" t="s">
        <v>100</v>
      </c>
      <c r="F5" s="82" t="s">
        <v>101</v>
      </c>
      <c r="G5" s="83" t="n">
        <v>5</v>
      </c>
      <c r="H5" s="83" t="n">
        <v>5</v>
      </c>
      <c r="I5" s="85" t="n">
        <f aca="false">+J5</f>
        <v>0</v>
      </c>
      <c r="J5" s="139" t="n">
        <f aca="false">+'Vigilante 5x2 12h Arm'!$D$156</f>
        <v>0</v>
      </c>
      <c r="K5" s="85" t="n">
        <f aca="false">+J5*H5</f>
        <v>0</v>
      </c>
      <c r="L5" s="85" t="n">
        <f aca="false">+K5*12</f>
        <v>0</v>
      </c>
      <c r="M5" s="173" t="n">
        <f aca="false">+L5+L4+L3</f>
        <v>0</v>
      </c>
    </row>
    <row r="6" customFormat="false" ht="12.75" hidden="false" customHeight="true" outlineLevel="0" collapsed="false">
      <c r="A6" s="194" t="s">
        <v>166</v>
      </c>
      <c r="B6" s="194"/>
      <c r="C6" s="193" t="s">
        <v>93</v>
      </c>
      <c r="D6" s="66" t="s">
        <v>94</v>
      </c>
      <c r="E6" s="66" t="s">
        <v>95</v>
      </c>
      <c r="F6" s="67" t="s">
        <v>96</v>
      </c>
      <c r="G6" s="68" t="n">
        <v>7</v>
      </c>
      <c r="H6" s="68" t="n">
        <v>14</v>
      </c>
      <c r="I6" s="70" t="n">
        <f aca="false">+J6*2</f>
        <v>0</v>
      </c>
      <c r="J6" s="136" t="n">
        <f aca="false">+'Vigilante 12X36 Diurno Arm'!$D$153</f>
        <v>0</v>
      </c>
      <c r="K6" s="70" t="n">
        <f aca="false">+J6*H6</f>
        <v>0</v>
      </c>
      <c r="L6" s="70" t="n">
        <f aca="false">+K6*12</f>
        <v>0</v>
      </c>
      <c r="M6" s="137"/>
    </row>
    <row r="7" customFormat="false" ht="12.75" hidden="false" customHeight="false" outlineLevel="0" collapsed="false">
      <c r="A7" s="194"/>
      <c r="B7" s="194"/>
      <c r="C7" s="177" t="s">
        <v>93</v>
      </c>
      <c r="D7" s="74" t="s">
        <v>94</v>
      </c>
      <c r="E7" s="74" t="s">
        <v>97</v>
      </c>
      <c r="F7" s="75" t="s">
        <v>96</v>
      </c>
      <c r="G7" s="76" t="n">
        <v>7</v>
      </c>
      <c r="H7" s="76" t="n">
        <v>14</v>
      </c>
      <c r="I7" s="78" t="n">
        <f aca="false">+J7*2</f>
        <v>0</v>
      </c>
      <c r="J7" s="129" t="n">
        <f aca="false">+'Vigilante 12x36 Noturno Arm'!$D$153</f>
        <v>0</v>
      </c>
      <c r="K7" s="78" t="n">
        <f aca="false">+J7*H7</f>
        <v>0</v>
      </c>
      <c r="L7" s="78" t="n">
        <f aca="false">+K7*12</f>
        <v>0</v>
      </c>
      <c r="M7" s="138"/>
    </row>
    <row r="8" customFormat="false" ht="12.75" hidden="false" customHeight="false" outlineLevel="0" collapsed="false">
      <c r="A8" s="194"/>
      <c r="B8" s="194"/>
      <c r="C8" s="177" t="s">
        <v>93</v>
      </c>
      <c r="D8" s="74" t="s">
        <v>157</v>
      </c>
      <c r="E8" s="74" t="s">
        <v>100</v>
      </c>
      <c r="F8" s="75" t="s">
        <v>101</v>
      </c>
      <c r="G8" s="76" t="n">
        <v>6</v>
      </c>
      <c r="H8" s="76" t="n">
        <v>6</v>
      </c>
      <c r="I8" s="78" t="n">
        <f aca="false">+J8</f>
        <v>0</v>
      </c>
      <c r="J8" s="129" t="n">
        <f aca="false">+'Vigilante 5x2 12h Arm'!$D$156</f>
        <v>0</v>
      </c>
      <c r="K8" s="78" t="n">
        <f aca="false">+J8*H8</f>
        <v>0</v>
      </c>
      <c r="L8" s="78" t="n">
        <f aca="false">+K8*12</f>
        <v>0</v>
      </c>
      <c r="M8" s="138"/>
    </row>
    <row r="9" customFormat="false" ht="13.5" hidden="false" customHeight="true" outlineLevel="0" collapsed="false">
      <c r="A9" s="195" t="s">
        <v>167</v>
      </c>
      <c r="B9" s="195"/>
      <c r="C9" s="91" t="s">
        <v>98</v>
      </c>
      <c r="D9" s="81" t="s">
        <v>94</v>
      </c>
      <c r="E9" s="81" t="s">
        <v>95</v>
      </c>
      <c r="F9" s="82" t="s">
        <v>96</v>
      </c>
      <c r="G9" s="83" t="n">
        <v>4</v>
      </c>
      <c r="H9" s="83" t="n">
        <v>8</v>
      </c>
      <c r="I9" s="85" t="n">
        <f aca="false">+J9*2</f>
        <v>0</v>
      </c>
      <c r="J9" s="139" t="n">
        <f aca="false">+'Vigilante 12x36 Diurno Des'!$D$153</f>
        <v>0</v>
      </c>
      <c r="K9" s="85" t="n">
        <f aca="false">+J9*H9</f>
        <v>0</v>
      </c>
      <c r="L9" s="85" t="n">
        <f aca="false">+K9*12</f>
        <v>0</v>
      </c>
      <c r="M9" s="173" t="n">
        <f aca="false">+L9+L8+L7+L6</f>
        <v>0</v>
      </c>
    </row>
    <row r="10" customFormat="false" ht="12.75" hidden="false" customHeight="true" outlineLevel="0" collapsed="false">
      <c r="A10" s="88" t="s">
        <v>168</v>
      </c>
      <c r="B10" s="88"/>
      <c r="C10" s="193" t="s">
        <v>93</v>
      </c>
      <c r="D10" s="66" t="s">
        <v>94</v>
      </c>
      <c r="E10" s="66" t="s">
        <v>95</v>
      </c>
      <c r="F10" s="67" t="s">
        <v>96</v>
      </c>
      <c r="G10" s="68" t="n">
        <v>1</v>
      </c>
      <c r="H10" s="68" t="n">
        <v>2</v>
      </c>
      <c r="I10" s="70" t="n">
        <f aca="false">+J10*2</f>
        <v>0</v>
      </c>
      <c r="J10" s="136" t="n">
        <f aca="false">+'Vigilante 12X36 Diurno Arm'!$D$153</f>
        <v>0</v>
      </c>
      <c r="K10" s="70" t="n">
        <f aca="false">+J10*H10</f>
        <v>0</v>
      </c>
      <c r="L10" s="70" t="n">
        <f aca="false">+K10*12</f>
        <v>0</v>
      </c>
      <c r="M10" s="137"/>
    </row>
    <row r="11" customFormat="false" ht="13.5" hidden="false" customHeight="false" outlineLevel="0" collapsed="false">
      <c r="A11" s="88"/>
      <c r="B11" s="88"/>
      <c r="C11" s="91" t="s">
        <v>93</v>
      </c>
      <c r="D11" s="81" t="s">
        <v>94</v>
      </c>
      <c r="E11" s="81" t="s">
        <v>97</v>
      </c>
      <c r="F11" s="82" t="s">
        <v>96</v>
      </c>
      <c r="G11" s="83" t="n">
        <v>1</v>
      </c>
      <c r="H11" s="83" t="n">
        <v>2</v>
      </c>
      <c r="I11" s="85" t="n">
        <f aca="false">+J11*2</f>
        <v>0</v>
      </c>
      <c r="J11" s="139" t="n">
        <f aca="false">+'Vigilante 12x36 Noturno Arm'!$D$153</f>
        <v>0</v>
      </c>
      <c r="K11" s="85" t="n">
        <f aca="false">+J11*H11</f>
        <v>0</v>
      </c>
      <c r="L11" s="85" t="n">
        <f aca="false">+K11*12</f>
        <v>0</v>
      </c>
      <c r="M11" s="173" t="n">
        <f aca="false">+L11+L10</f>
        <v>0</v>
      </c>
    </row>
    <row r="12" customFormat="false" ht="12.75" hidden="false" customHeight="true" outlineLevel="0" collapsed="false">
      <c r="A12" s="88" t="s">
        <v>169</v>
      </c>
      <c r="B12" s="88"/>
      <c r="C12" s="193" t="s">
        <v>93</v>
      </c>
      <c r="D12" s="66" t="s">
        <v>94</v>
      </c>
      <c r="E12" s="66" t="s">
        <v>95</v>
      </c>
      <c r="F12" s="67" t="s">
        <v>96</v>
      </c>
      <c r="G12" s="68" t="n">
        <v>1</v>
      </c>
      <c r="H12" s="68" t="n">
        <v>2</v>
      </c>
      <c r="I12" s="70" t="n">
        <f aca="false">+J12*2</f>
        <v>0</v>
      </c>
      <c r="J12" s="136" t="n">
        <f aca="false">+'Vigilante 12X36 Diurno Arm'!$D$153</f>
        <v>0</v>
      </c>
      <c r="K12" s="70" t="n">
        <f aca="false">+J12*H12</f>
        <v>0</v>
      </c>
      <c r="L12" s="70" t="n">
        <f aca="false">+K12*12</f>
        <v>0</v>
      </c>
      <c r="M12" s="137"/>
    </row>
    <row r="13" customFormat="false" ht="13.5" hidden="false" customHeight="false" outlineLevel="0" collapsed="false">
      <c r="A13" s="88"/>
      <c r="B13" s="88"/>
      <c r="C13" s="91" t="s">
        <v>93</v>
      </c>
      <c r="D13" s="81" t="s">
        <v>94</v>
      </c>
      <c r="E13" s="81" t="s">
        <v>97</v>
      </c>
      <c r="F13" s="82" t="s">
        <v>96</v>
      </c>
      <c r="G13" s="83" t="n">
        <v>1</v>
      </c>
      <c r="H13" s="83" t="n">
        <v>2</v>
      </c>
      <c r="I13" s="85" t="n">
        <f aca="false">+J13*2</f>
        <v>0</v>
      </c>
      <c r="J13" s="139" t="n">
        <f aca="false">+'Vigilante 12x36 Noturno Arm'!$D$153</f>
        <v>0</v>
      </c>
      <c r="K13" s="85" t="n">
        <f aca="false">+J13*H13</f>
        <v>0</v>
      </c>
      <c r="L13" s="85" t="n">
        <f aca="false">+K13*12</f>
        <v>0</v>
      </c>
      <c r="M13" s="173" t="n">
        <f aca="false">+L13+L12</f>
        <v>0</v>
      </c>
    </row>
    <row r="14" customFormat="false" ht="12.75" hidden="false" customHeight="true" outlineLevel="0" collapsed="false">
      <c r="A14" s="194" t="s">
        <v>170</v>
      </c>
      <c r="B14" s="194"/>
      <c r="C14" s="193" t="s">
        <v>93</v>
      </c>
      <c r="D14" s="66" t="s">
        <v>94</v>
      </c>
      <c r="E14" s="66" t="s">
        <v>95</v>
      </c>
      <c r="F14" s="67" t="s">
        <v>96</v>
      </c>
      <c r="G14" s="68" t="n">
        <v>3</v>
      </c>
      <c r="H14" s="68" t="n">
        <v>6</v>
      </c>
      <c r="I14" s="70" t="n">
        <f aca="false">+J14*2</f>
        <v>0</v>
      </c>
      <c r="J14" s="136" t="n">
        <f aca="false">+'Vigilante 12X36 Diurno Arm'!$D$153</f>
        <v>0</v>
      </c>
      <c r="K14" s="70" t="n">
        <f aca="false">+J14*H14</f>
        <v>0</v>
      </c>
      <c r="L14" s="70" t="n">
        <f aca="false">+K14*12</f>
        <v>0</v>
      </c>
      <c r="M14" s="137"/>
    </row>
    <row r="15" customFormat="false" ht="12.75" hidden="false" customHeight="false" outlineLevel="0" collapsed="false">
      <c r="A15" s="194"/>
      <c r="B15" s="194"/>
      <c r="C15" s="177" t="s">
        <v>93</v>
      </c>
      <c r="D15" s="74" t="s">
        <v>94</v>
      </c>
      <c r="E15" s="74" t="s">
        <v>97</v>
      </c>
      <c r="F15" s="75" t="s">
        <v>96</v>
      </c>
      <c r="G15" s="76" t="n">
        <v>3</v>
      </c>
      <c r="H15" s="76" t="n">
        <v>6</v>
      </c>
      <c r="I15" s="78" t="n">
        <f aca="false">+J15*2</f>
        <v>0</v>
      </c>
      <c r="J15" s="129" t="n">
        <f aca="false">+'Vigilante 12x36 Noturno Arm'!$D$153</f>
        <v>0</v>
      </c>
      <c r="K15" s="78" t="n">
        <f aca="false">+J15*H15</f>
        <v>0</v>
      </c>
      <c r="L15" s="78" t="n">
        <f aca="false">+K15*12</f>
        <v>0</v>
      </c>
      <c r="M15" s="138"/>
    </row>
    <row r="16" customFormat="false" ht="30" hidden="false" customHeight="true" outlineLevel="0" collapsed="false">
      <c r="A16" s="195" t="s">
        <v>171</v>
      </c>
      <c r="B16" s="195"/>
      <c r="C16" s="91" t="s">
        <v>93</v>
      </c>
      <c r="D16" s="81" t="s">
        <v>94</v>
      </c>
      <c r="E16" s="81" t="s">
        <v>95</v>
      </c>
      <c r="F16" s="82" t="s">
        <v>96</v>
      </c>
      <c r="G16" s="83" t="n">
        <v>1</v>
      </c>
      <c r="H16" s="83" t="n">
        <v>2</v>
      </c>
      <c r="I16" s="85" t="n">
        <f aca="false">+J16*2</f>
        <v>0</v>
      </c>
      <c r="J16" s="139" t="n">
        <f aca="false">+'Vigilante 12X36 Diurno Arm'!$D$153</f>
        <v>0</v>
      </c>
      <c r="K16" s="85" t="n">
        <f aca="false">+J16*H16</f>
        <v>0</v>
      </c>
      <c r="L16" s="85" t="n">
        <f aca="false">+K16*12</f>
        <v>0</v>
      </c>
      <c r="M16" s="173" t="n">
        <f aca="false">+L16+L15+L14</f>
        <v>0</v>
      </c>
    </row>
    <row r="17" customFormat="false" ht="12.75" hidden="false" customHeight="true" outlineLevel="0" collapsed="false">
      <c r="A17" s="88" t="s">
        <v>172</v>
      </c>
      <c r="B17" s="88"/>
      <c r="C17" s="193" t="s">
        <v>93</v>
      </c>
      <c r="D17" s="66" t="s">
        <v>94</v>
      </c>
      <c r="E17" s="66" t="s">
        <v>95</v>
      </c>
      <c r="F17" s="67" t="s">
        <v>96</v>
      </c>
      <c r="G17" s="68" t="n">
        <v>2</v>
      </c>
      <c r="H17" s="68" t="n">
        <v>4</v>
      </c>
      <c r="I17" s="70" t="n">
        <f aca="false">+J17*2</f>
        <v>0</v>
      </c>
      <c r="J17" s="136" t="n">
        <f aca="false">+'Vigilante 12X36 Diurno Arm'!$D$153</f>
        <v>0</v>
      </c>
      <c r="K17" s="70" t="n">
        <f aca="false">+J17*H17</f>
        <v>0</v>
      </c>
      <c r="L17" s="70" t="n">
        <f aca="false">+K17*12</f>
        <v>0</v>
      </c>
      <c r="M17" s="137"/>
    </row>
    <row r="18" customFormat="false" ht="13.5" hidden="false" customHeight="false" outlineLevel="0" collapsed="false">
      <c r="A18" s="88"/>
      <c r="B18" s="88"/>
      <c r="C18" s="91" t="s">
        <v>93</v>
      </c>
      <c r="D18" s="81" t="s">
        <v>94</v>
      </c>
      <c r="E18" s="81" t="s">
        <v>97</v>
      </c>
      <c r="F18" s="82" t="s">
        <v>96</v>
      </c>
      <c r="G18" s="83" t="n">
        <v>2</v>
      </c>
      <c r="H18" s="83" t="n">
        <v>4</v>
      </c>
      <c r="I18" s="85" t="n">
        <f aca="false">+J18*2</f>
        <v>0</v>
      </c>
      <c r="J18" s="139" t="n">
        <f aca="false">+'Vigilante 12x36 Noturno Arm'!$D$153</f>
        <v>0</v>
      </c>
      <c r="K18" s="85" t="n">
        <f aca="false">+J18*H18</f>
        <v>0</v>
      </c>
      <c r="L18" s="85" t="n">
        <f aca="false">+K18*12</f>
        <v>0</v>
      </c>
      <c r="M18" s="173" t="n">
        <f aca="false">+L18+L17</f>
        <v>0</v>
      </c>
    </row>
    <row r="19" customFormat="false" ht="12.75" hidden="false" customHeight="true" outlineLevel="0" collapsed="false">
      <c r="A19" s="88" t="s">
        <v>173</v>
      </c>
      <c r="B19" s="88"/>
      <c r="C19" s="193" t="s">
        <v>93</v>
      </c>
      <c r="D19" s="66" t="s">
        <v>94</v>
      </c>
      <c r="E19" s="66" t="s">
        <v>95</v>
      </c>
      <c r="F19" s="67" t="s">
        <v>96</v>
      </c>
      <c r="G19" s="68" t="n">
        <v>3</v>
      </c>
      <c r="H19" s="68" t="n">
        <v>6</v>
      </c>
      <c r="I19" s="70" t="n">
        <f aca="false">+J19*2</f>
        <v>0</v>
      </c>
      <c r="J19" s="136" t="n">
        <f aca="false">+'Vigilante 12X36 Diurno Arm'!$D$153</f>
        <v>0</v>
      </c>
      <c r="K19" s="70" t="n">
        <f aca="false">+J19*H19</f>
        <v>0</v>
      </c>
      <c r="L19" s="70" t="n">
        <f aca="false">+K19*12</f>
        <v>0</v>
      </c>
      <c r="M19" s="137"/>
    </row>
    <row r="20" customFormat="false" ht="12.75" hidden="false" customHeight="false" outlineLevel="0" collapsed="false">
      <c r="A20" s="88"/>
      <c r="B20" s="88"/>
      <c r="C20" s="177" t="s">
        <v>93</v>
      </c>
      <c r="D20" s="74" t="s">
        <v>94</v>
      </c>
      <c r="E20" s="74" t="s">
        <v>97</v>
      </c>
      <c r="F20" s="75" t="s">
        <v>96</v>
      </c>
      <c r="G20" s="76" t="n">
        <v>3</v>
      </c>
      <c r="H20" s="76" t="n">
        <v>6</v>
      </c>
      <c r="I20" s="78" t="n">
        <f aca="false">+J20*2</f>
        <v>0</v>
      </c>
      <c r="J20" s="129" t="n">
        <f aca="false">+'Vigilante 12x36 Noturno Arm'!$D$153</f>
        <v>0</v>
      </c>
      <c r="K20" s="78" t="n">
        <f aca="false">+J20*H20</f>
        <v>0</v>
      </c>
      <c r="L20" s="78" t="n">
        <f aca="false">+K20*12</f>
        <v>0</v>
      </c>
      <c r="M20" s="138"/>
    </row>
    <row r="21" customFormat="false" ht="13.5" hidden="false" customHeight="false" outlineLevel="0" collapsed="false">
      <c r="A21" s="88"/>
      <c r="B21" s="88"/>
      <c r="C21" s="91" t="s">
        <v>93</v>
      </c>
      <c r="D21" s="81" t="s">
        <v>157</v>
      </c>
      <c r="E21" s="81" t="s">
        <v>100</v>
      </c>
      <c r="F21" s="82" t="s">
        <v>101</v>
      </c>
      <c r="G21" s="83" t="n">
        <v>3</v>
      </c>
      <c r="H21" s="83" t="n">
        <v>3</v>
      </c>
      <c r="I21" s="85" t="n">
        <f aca="false">+J21</f>
        <v>0</v>
      </c>
      <c r="J21" s="139" t="n">
        <f aca="false">+'Vigilante 5x2 12h Arm'!$D$156</f>
        <v>0</v>
      </c>
      <c r="K21" s="85" t="n">
        <f aca="false">+J21*H21</f>
        <v>0</v>
      </c>
      <c r="L21" s="85" t="n">
        <f aca="false">+K21*12</f>
        <v>0</v>
      </c>
      <c r="M21" s="173" t="n">
        <f aca="false">+L21+L20+L19</f>
        <v>0</v>
      </c>
    </row>
    <row r="22" customFormat="false" ht="13.5" hidden="false" customHeight="false" outlineLevel="0" collapsed="false">
      <c r="G22" s="158" t="n">
        <f aca="false">SUM(G3:G21)</f>
        <v>67</v>
      </c>
      <c r="H22" s="159" t="n">
        <f aca="false">SUM(H3:H21)</f>
        <v>120</v>
      </c>
      <c r="K22" s="175" t="n">
        <f aca="false">SUM(K3:K21)</f>
        <v>0</v>
      </c>
      <c r="L22" s="196" t="n">
        <f aca="false">+K22*12</f>
        <v>0</v>
      </c>
    </row>
    <row r="24" customFormat="false" ht="36" hidden="false" customHeight="false" outlineLevel="0" collapsed="false">
      <c r="D24" s="161" t="s">
        <v>81</v>
      </c>
      <c r="E24" s="161" t="s">
        <v>82</v>
      </c>
      <c r="F24" s="161" t="s">
        <v>83</v>
      </c>
      <c r="G24" s="161" t="s">
        <v>91</v>
      </c>
      <c r="H24" s="161" t="s">
        <v>92</v>
      </c>
    </row>
    <row r="25" customFormat="false" ht="12.75" hidden="false" customHeight="false" outlineLevel="0" collapsed="false">
      <c r="B25" s="34"/>
      <c r="C25" s="177" t="s">
        <v>93</v>
      </c>
      <c r="D25" s="74" t="s">
        <v>94</v>
      </c>
      <c r="E25" s="74" t="s">
        <v>95</v>
      </c>
      <c r="F25" s="75" t="s">
        <v>96</v>
      </c>
      <c r="G25" s="76" t="n">
        <f aca="false">+G3+G6+G10+G12+G14+G16+G17+G19</f>
        <v>25</v>
      </c>
      <c r="H25" s="76" t="n">
        <f aca="false">+H3+H6+H10+H12+H14+H16+H17+H19</f>
        <v>50</v>
      </c>
    </row>
    <row r="26" customFormat="false" ht="12.75" hidden="false" customHeight="false" outlineLevel="0" collapsed="false">
      <c r="B26" s="34"/>
      <c r="C26" s="177" t="s">
        <v>93</v>
      </c>
      <c r="D26" s="74" t="s">
        <v>94</v>
      </c>
      <c r="E26" s="74" t="s">
        <v>97</v>
      </c>
      <c r="F26" s="75" t="s">
        <v>96</v>
      </c>
      <c r="G26" s="76" t="n">
        <f aca="false">+G4+G7+G11+G13+G15+G18+G20</f>
        <v>24</v>
      </c>
      <c r="H26" s="76" t="n">
        <f aca="false">+H4+H7+H11+H13+H15+H18+H20</f>
        <v>48</v>
      </c>
    </row>
    <row r="27" customFormat="false" ht="12.75" hidden="false" customHeight="false" outlineLevel="0" collapsed="false">
      <c r="B27" s="34"/>
      <c r="C27" s="177" t="s">
        <v>93</v>
      </c>
      <c r="D27" s="74" t="s">
        <v>157</v>
      </c>
      <c r="E27" s="74" t="s">
        <v>100</v>
      </c>
      <c r="F27" s="75" t="s">
        <v>101</v>
      </c>
      <c r="G27" s="76" t="n">
        <f aca="false">+G5+G8+G21</f>
        <v>14</v>
      </c>
      <c r="H27" s="76" t="n">
        <f aca="false">+H5+H8+H21</f>
        <v>14</v>
      </c>
    </row>
    <row r="28" s="34" customFormat="true" ht="6" hidden="false" customHeight="true" outlineLevel="0" collapsed="false">
      <c r="C28" s="197"/>
      <c r="D28" s="198"/>
      <c r="E28" s="198"/>
      <c r="F28" s="199"/>
      <c r="G28" s="200"/>
      <c r="H28" s="200"/>
    </row>
    <row r="29" customFormat="false" ht="13.5" hidden="false" customHeight="false" outlineLevel="0" collapsed="false">
      <c r="B29" s="34"/>
      <c r="C29" s="177" t="s">
        <v>98</v>
      </c>
      <c r="D29" s="74" t="s">
        <v>94</v>
      </c>
      <c r="E29" s="74" t="s">
        <v>95</v>
      </c>
      <c r="F29" s="75" t="s">
        <v>96</v>
      </c>
      <c r="G29" s="76" t="n">
        <f aca="false">+G9</f>
        <v>4</v>
      </c>
      <c r="H29" s="76" t="n">
        <f aca="false">+H9</f>
        <v>8</v>
      </c>
    </row>
    <row r="30" customFormat="false" ht="13.5" hidden="false" customHeight="false" outlineLevel="0" collapsed="false">
      <c r="G30" s="163" t="n">
        <f aca="false">SUM(G25:G29)</f>
        <v>67</v>
      </c>
      <c r="H30" s="163" t="n">
        <f aca="false">SUM(H25:H29)</f>
        <v>120</v>
      </c>
    </row>
    <row r="32" customFormat="false" ht="12.75" hidden="false" customHeight="true" outlineLevel="0" collapsed="false">
      <c r="A32" s="165" t="s">
        <v>27</v>
      </c>
      <c r="B32" s="165"/>
      <c r="C32" s="165"/>
      <c r="D32" s="165"/>
      <c r="E32" s="165"/>
      <c r="F32" s="165"/>
      <c r="G32" s="165"/>
      <c r="H32" s="166" t="s">
        <v>28</v>
      </c>
      <c r="I32" s="121" t="s">
        <v>29</v>
      </c>
      <c r="J32" s="121"/>
      <c r="K32" s="167" t="s">
        <v>112</v>
      </c>
      <c r="L32" s="122" t="s">
        <v>113</v>
      </c>
      <c r="M32" s="122" t="s">
        <v>124</v>
      </c>
      <c r="N32" s="123" t="s">
        <v>125</v>
      </c>
    </row>
    <row r="33" customFormat="false" ht="27" hidden="false" customHeight="true" outlineLevel="0" collapsed="false">
      <c r="A33" s="165"/>
      <c r="B33" s="165"/>
      <c r="C33" s="165"/>
      <c r="D33" s="165"/>
      <c r="E33" s="165"/>
      <c r="F33" s="165"/>
      <c r="G33" s="165"/>
      <c r="H33" s="166"/>
      <c r="I33" s="168" t="s">
        <v>31</v>
      </c>
      <c r="J33" s="168" t="s">
        <v>32</v>
      </c>
      <c r="K33" s="167"/>
      <c r="L33" s="122"/>
      <c r="M33" s="122"/>
      <c r="N33" s="123"/>
    </row>
    <row r="34" customFormat="false" ht="25.5" hidden="false" customHeight="true" outlineLevel="0" collapsed="false">
      <c r="A34" s="20" t="s">
        <v>65</v>
      </c>
      <c r="B34" s="21" t="s">
        <v>66</v>
      </c>
      <c r="C34" s="21" t="s">
        <v>126</v>
      </c>
      <c r="D34" s="21"/>
      <c r="E34" s="21"/>
      <c r="F34" s="21"/>
      <c r="G34" s="21"/>
      <c r="H34" s="21" t="s">
        <v>38</v>
      </c>
      <c r="I34" s="128" t="n">
        <f aca="false">+G25</f>
        <v>25</v>
      </c>
      <c r="J34" s="128" t="n">
        <f aca="false">+H25</f>
        <v>50</v>
      </c>
      <c r="K34" s="78" t="n">
        <f aca="false">+L34*2</f>
        <v>0</v>
      </c>
      <c r="L34" s="129" t="n">
        <f aca="false">+'Vigilante 12X36 Diurno Arm'!$D$153</f>
        <v>0</v>
      </c>
      <c r="M34" s="78" t="n">
        <f aca="false">+L34*J34</f>
        <v>0</v>
      </c>
      <c r="N34" s="78" t="n">
        <f aca="false">+M34*12</f>
        <v>0</v>
      </c>
    </row>
    <row r="35" customFormat="false" ht="25.5" hidden="false" customHeight="true" outlineLevel="0" collapsed="false">
      <c r="A35" s="20"/>
      <c r="B35" s="21" t="s">
        <v>67</v>
      </c>
      <c r="C35" s="21" t="s">
        <v>127</v>
      </c>
      <c r="D35" s="21"/>
      <c r="E35" s="21"/>
      <c r="F35" s="21"/>
      <c r="G35" s="21"/>
      <c r="H35" s="21" t="s">
        <v>38</v>
      </c>
      <c r="I35" s="128" t="n">
        <f aca="false">+G26</f>
        <v>24</v>
      </c>
      <c r="J35" s="128" t="n">
        <f aca="false">+H26</f>
        <v>48</v>
      </c>
      <c r="K35" s="78" t="n">
        <f aca="false">+L35*2</f>
        <v>0</v>
      </c>
      <c r="L35" s="129" t="n">
        <f aca="false">+'Vigilante 12x36 Noturno Arm'!$D$153</f>
        <v>0</v>
      </c>
      <c r="M35" s="78" t="n">
        <f aca="false">+L35*J35</f>
        <v>0</v>
      </c>
      <c r="N35" s="78" t="n">
        <f aca="false">+M35*12</f>
        <v>0</v>
      </c>
    </row>
    <row r="36" customFormat="false" ht="25.5" hidden="false" customHeight="true" outlineLevel="0" collapsed="false">
      <c r="A36" s="20"/>
      <c r="B36" s="21" t="s">
        <v>68</v>
      </c>
      <c r="C36" s="21" t="s">
        <v>42</v>
      </c>
      <c r="D36" s="21"/>
      <c r="E36" s="21"/>
      <c r="F36" s="21"/>
      <c r="G36" s="21"/>
      <c r="H36" s="21" t="s">
        <v>43</v>
      </c>
      <c r="I36" s="128" t="n">
        <f aca="false">+G27</f>
        <v>14</v>
      </c>
      <c r="J36" s="128" t="n">
        <f aca="false">+H27</f>
        <v>14</v>
      </c>
      <c r="K36" s="129" t="n">
        <f aca="false">+L36</f>
        <v>0</v>
      </c>
      <c r="L36" s="129" t="n">
        <f aca="false">+'Vigilante 5x2 12h Arm'!$D$156</f>
        <v>0</v>
      </c>
      <c r="M36" s="78" t="n">
        <f aca="false">+L36*J36</f>
        <v>0</v>
      </c>
      <c r="N36" s="78" t="n">
        <f aca="false">+M36*12</f>
        <v>0</v>
      </c>
    </row>
    <row r="37" customFormat="false" ht="26.25" hidden="false" customHeight="true" outlineLevel="0" collapsed="false">
      <c r="A37" s="20"/>
      <c r="B37" s="21" t="s">
        <v>69</v>
      </c>
      <c r="C37" s="21" t="s">
        <v>143</v>
      </c>
      <c r="D37" s="21"/>
      <c r="E37" s="21"/>
      <c r="F37" s="21"/>
      <c r="G37" s="21"/>
      <c r="H37" s="21" t="s">
        <v>43</v>
      </c>
      <c r="I37" s="128" t="n">
        <f aca="false">+G29</f>
        <v>4</v>
      </c>
      <c r="J37" s="128" t="n">
        <f aca="false">+H29</f>
        <v>8</v>
      </c>
      <c r="K37" s="78" t="n">
        <f aca="false">+L37*2</f>
        <v>0</v>
      </c>
      <c r="L37" s="129" t="n">
        <f aca="false">+'Vigilante 12x36 Diurno Des'!D153</f>
        <v>0</v>
      </c>
      <c r="M37" s="78" t="n">
        <f aca="false">+L37*J37</f>
        <v>0</v>
      </c>
      <c r="N37" s="78" t="n">
        <f aca="false">+M37*12</f>
        <v>0</v>
      </c>
    </row>
    <row r="38" customFormat="false" ht="13.5" hidden="false" customHeight="false" outlineLevel="0" collapsed="false">
      <c r="I38" s="178" t="n">
        <f aca="false">SUM(I34:I37)</f>
        <v>67</v>
      </c>
      <c r="J38" s="178" t="n">
        <f aca="false">SUM(J34:J37)</f>
        <v>120</v>
      </c>
      <c r="M38" s="130" t="n">
        <f aca="false">SUM(M34:M37)</f>
        <v>0</v>
      </c>
      <c r="N38" s="179" t="n">
        <f aca="false">SUM(N34:N37)</f>
        <v>0</v>
      </c>
    </row>
  </sheetData>
  <mergeCells count="23">
    <mergeCell ref="A1:M1"/>
    <mergeCell ref="A2:B2"/>
    <mergeCell ref="A3:B5"/>
    <mergeCell ref="A6:B8"/>
    <mergeCell ref="A9:B9"/>
    <mergeCell ref="A10:B11"/>
    <mergeCell ref="A12:B13"/>
    <mergeCell ref="A14:B15"/>
    <mergeCell ref="A16:B16"/>
    <mergeCell ref="A17:B18"/>
    <mergeCell ref="A19:B21"/>
    <mergeCell ref="A32:G33"/>
    <mergeCell ref="H32:H33"/>
    <mergeCell ref="I32:J32"/>
    <mergeCell ref="K32:K33"/>
    <mergeCell ref="L32:L33"/>
    <mergeCell ref="M32:M33"/>
    <mergeCell ref="N32:N33"/>
    <mergeCell ref="A34:A37"/>
    <mergeCell ref="C34:G34"/>
    <mergeCell ref="C35:G35"/>
    <mergeCell ref="C36:G36"/>
    <mergeCell ref="C37:G37"/>
  </mergeCells>
  <printOptions headings="false" gridLines="false" gridLinesSet="true" horizontalCentered="false" verticalCentered="false"/>
  <pageMargins left="0.159722222222222" right="0.0902777777777778" top="1.25972222222222" bottom="0.7875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29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28" activeCellId="0" sqref="C28"/>
    </sheetView>
  </sheetViews>
  <sheetFormatPr defaultRowHeight="12.75" zeroHeight="false" outlineLevelRow="0" outlineLevelCol="0"/>
  <cols>
    <col collapsed="false" customWidth="true" hidden="false" outlineLevel="0" max="1" min="1" style="0" width="8.59"/>
    <col collapsed="false" customWidth="true" hidden="false" outlineLevel="0" max="2" min="2" style="0" width="19.75"/>
    <col collapsed="false" customWidth="true" hidden="false" outlineLevel="0" max="4" min="3" style="0" width="8.59"/>
    <col collapsed="false" customWidth="true" hidden="false" outlineLevel="0" max="5" min="5" style="0" width="10.5"/>
    <col collapsed="false" customWidth="true" hidden="false" outlineLevel="0" max="6" min="6" style="0" width="19"/>
    <col collapsed="false" customWidth="true" hidden="false" outlineLevel="0" max="7" min="7" style="0" width="9.25"/>
    <col collapsed="false" customWidth="true" hidden="false" outlineLevel="0" max="8" min="8" style="0" width="12"/>
    <col collapsed="false" customWidth="true" hidden="false" outlineLevel="0" max="9" min="9" style="0" width="12.38"/>
    <col collapsed="false" customWidth="true" hidden="false" outlineLevel="0" max="10" min="10" style="0" width="13.88"/>
    <col collapsed="false" customWidth="true" hidden="false" outlineLevel="0" max="11" min="11" style="0" width="16.5"/>
    <col collapsed="false" customWidth="true" hidden="false" outlineLevel="0" max="12" min="12" style="0" width="18"/>
    <col collapsed="false" customWidth="true" hidden="false" outlineLevel="0" max="13" min="13" style="0" width="18.75"/>
    <col collapsed="false" customWidth="true" hidden="false" outlineLevel="0" max="14" min="14" style="0" width="17.37"/>
    <col collapsed="false" customWidth="true" hidden="false" outlineLevel="0" max="1025" min="15" style="0" width="8.59"/>
  </cols>
  <sheetData>
    <row r="1" customFormat="false" ht="15" hidden="false" customHeight="true" outlineLevel="0" collapsed="false">
      <c r="A1" s="171" t="s">
        <v>174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customFormat="false" ht="36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3.5" hidden="false" customHeight="true" outlineLevel="0" collapsed="false">
      <c r="A3" s="135" t="s">
        <v>175</v>
      </c>
      <c r="B3" s="135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3</v>
      </c>
      <c r="H3" s="68" t="n">
        <v>6</v>
      </c>
      <c r="I3" s="136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2.75" hidden="false" customHeight="false" outlineLevel="0" collapsed="false">
      <c r="A4" s="135"/>
      <c r="B4" s="135"/>
      <c r="C4" s="73" t="s">
        <v>93</v>
      </c>
      <c r="D4" s="74" t="s">
        <v>94</v>
      </c>
      <c r="E4" s="74" t="s">
        <v>97</v>
      </c>
      <c r="F4" s="75" t="s">
        <v>96</v>
      </c>
      <c r="G4" s="76" t="n">
        <v>3</v>
      </c>
      <c r="H4" s="76" t="n">
        <v>6</v>
      </c>
      <c r="I4" s="129" t="n">
        <f aca="false">+J4*2</f>
        <v>0</v>
      </c>
      <c r="J4" s="129" t="n">
        <f aca="false">+'Vigilante 12x36 Noturno Arm'!$D$153</f>
        <v>0</v>
      </c>
      <c r="K4" s="78" t="n">
        <f aca="false">+J4*H4</f>
        <v>0</v>
      </c>
      <c r="L4" s="78" t="n">
        <f aca="false">+K4*12</f>
        <v>0</v>
      </c>
      <c r="M4" s="138"/>
    </row>
    <row r="5" customFormat="false" ht="12.75" hidden="false" customHeight="false" outlineLevel="0" collapsed="false">
      <c r="A5" s="135"/>
      <c r="B5" s="135"/>
      <c r="C5" s="73" t="s">
        <v>93</v>
      </c>
      <c r="D5" s="74" t="s">
        <v>157</v>
      </c>
      <c r="E5" s="74" t="s">
        <v>100</v>
      </c>
      <c r="F5" s="75" t="s">
        <v>101</v>
      </c>
      <c r="G5" s="76" t="n">
        <v>2</v>
      </c>
      <c r="H5" s="76" t="n">
        <v>2</v>
      </c>
      <c r="I5" s="129" t="n">
        <f aca="false">+J5</f>
        <v>0</v>
      </c>
      <c r="J5" s="129" t="n">
        <f aca="false">+'Vigilante 5x2 12h Arm'!$D$156</f>
        <v>0</v>
      </c>
      <c r="K5" s="78" t="n">
        <f aca="false">+J5*H5</f>
        <v>0</v>
      </c>
      <c r="L5" s="78" t="n">
        <f aca="false">+K5*12</f>
        <v>0</v>
      </c>
      <c r="M5" s="138"/>
    </row>
    <row r="6" customFormat="false" ht="13.5" hidden="false" customHeight="true" outlineLevel="0" collapsed="false">
      <c r="A6" s="135" t="s">
        <v>176</v>
      </c>
      <c r="B6" s="135"/>
      <c r="C6" s="80" t="s">
        <v>98</v>
      </c>
      <c r="D6" s="81" t="s">
        <v>94</v>
      </c>
      <c r="E6" s="81" t="s">
        <v>95</v>
      </c>
      <c r="F6" s="82" t="s">
        <v>96</v>
      </c>
      <c r="G6" s="83" t="n">
        <v>1</v>
      </c>
      <c r="H6" s="83" t="n">
        <v>2</v>
      </c>
      <c r="I6" s="139" t="n">
        <f aca="false">+J6*2</f>
        <v>0</v>
      </c>
      <c r="J6" s="129" t="n">
        <f aca="false">+'Vigilante 12x36 Diurno Des'!$D$153</f>
        <v>0</v>
      </c>
      <c r="K6" s="85" t="n">
        <f aca="false">+J6*H6</f>
        <v>0</v>
      </c>
      <c r="L6" s="85" t="n">
        <f aca="false">+K6*12</f>
        <v>0</v>
      </c>
      <c r="M6" s="173" t="n">
        <f aca="false">+L6+L5+L4+L3</f>
        <v>0</v>
      </c>
    </row>
    <row r="7" customFormat="false" ht="13.5" hidden="false" customHeight="true" outlineLevel="0" collapsed="false">
      <c r="A7" s="135" t="s">
        <v>177</v>
      </c>
      <c r="B7" s="135"/>
      <c r="C7" s="65" t="s">
        <v>93</v>
      </c>
      <c r="D7" s="66" t="s">
        <v>94</v>
      </c>
      <c r="E7" s="66" t="s">
        <v>95</v>
      </c>
      <c r="F7" s="67" t="s">
        <v>96</v>
      </c>
      <c r="G7" s="68" t="n">
        <v>2</v>
      </c>
      <c r="H7" s="68" t="n">
        <v>4</v>
      </c>
      <c r="I7" s="136" t="n">
        <f aca="false">+J7*2</f>
        <v>0</v>
      </c>
      <c r="J7" s="136" t="n">
        <f aca="false">+'Vigilante 12X36 Diurno Arm'!$D$153</f>
        <v>0</v>
      </c>
      <c r="K7" s="70" t="n">
        <f aca="false">+J7*H7</f>
        <v>0</v>
      </c>
      <c r="L7" s="70" t="n">
        <f aca="false">+K7*12</f>
        <v>0</v>
      </c>
      <c r="M7" s="137"/>
    </row>
    <row r="8" customFormat="false" ht="13.5" hidden="false" customHeight="false" outlineLevel="0" collapsed="false">
      <c r="A8" s="135"/>
      <c r="B8" s="135"/>
      <c r="C8" s="149" t="s">
        <v>93</v>
      </c>
      <c r="D8" s="150" t="s">
        <v>94</v>
      </c>
      <c r="E8" s="150" t="s">
        <v>97</v>
      </c>
      <c r="F8" s="151" t="s">
        <v>96</v>
      </c>
      <c r="G8" s="152" t="n">
        <v>2</v>
      </c>
      <c r="H8" s="152" t="n">
        <v>4</v>
      </c>
      <c r="I8" s="154" t="n">
        <f aca="false">+J8*2</f>
        <v>0</v>
      </c>
      <c r="J8" s="154" t="n">
        <f aca="false">+'Vigilante 12x36 Noturno Arm'!$D$153</f>
        <v>0</v>
      </c>
      <c r="K8" s="201" t="n">
        <f aca="false">+J8*H8</f>
        <v>0</v>
      </c>
      <c r="L8" s="201" t="n">
        <f aca="false">+K8*12</f>
        <v>0</v>
      </c>
      <c r="M8" s="172" t="n">
        <f aca="false">+L8+L7</f>
        <v>0</v>
      </c>
    </row>
    <row r="9" customFormat="false" ht="12.75" hidden="false" customHeight="true" outlineLevel="0" collapsed="false">
      <c r="A9" s="135" t="s">
        <v>178</v>
      </c>
      <c r="B9" s="135"/>
      <c r="C9" s="65" t="s">
        <v>98</v>
      </c>
      <c r="D9" s="66" t="s">
        <v>94</v>
      </c>
      <c r="E9" s="66" t="s">
        <v>95</v>
      </c>
      <c r="F9" s="67" t="s">
        <v>96</v>
      </c>
      <c r="G9" s="68" t="n">
        <v>1</v>
      </c>
      <c r="H9" s="68" t="n">
        <v>2</v>
      </c>
      <c r="I9" s="136" t="n">
        <f aca="false">+J9*2</f>
        <v>0</v>
      </c>
      <c r="J9" s="129" t="n">
        <f aca="false">+'Vigilante 12x36 Diurno Des'!$D$153</f>
        <v>0</v>
      </c>
      <c r="K9" s="70" t="n">
        <f aca="false">+J9*H9</f>
        <v>0</v>
      </c>
      <c r="L9" s="70" t="n">
        <f aca="false">+K9*12</f>
        <v>0</v>
      </c>
      <c r="M9" s="137"/>
    </row>
    <row r="10" customFormat="false" ht="13.5" hidden="false" customHeight="true" outlineLevel="0" collapsed="false">
      <c r="A10" s="135" t="s">
        <v>179</v>
      </c>
      <c r="B10" s="135"/>
      <c r="C10" s="73" t="s">
        <v>93</v>
      </c>
      <c r="D10" s="74" t="s">
        <v>94</v>
      </c>
      <c r="E10" s="74" t="s">
        <v>95</v>
      </c>
      <c r="F10" s="75" t="s">
        <v>96</v>
      </c>
      <c r="G10" s="76" t="n">
        <v>3</v>
      </c>
      <c r="H10" s="76" t="n">
        <v>6</v>
      </c>
      <c r="I10" s="129" t="n">
        <f aca="false">+J10*2</f>
        <v>0</v>
      </c>
      <c r="J10" s="129" t="n">
        <f aca="false">+'Vigilante 12X36 Diurno Arm'!$D$153</f>
        <v>0</v>
      </c>
      <c r="K10" s="78" t="n">
        <f aca="false">+J10*H10</f>
        <v>0</v>
      </c>
      <c r="L10" s="78" t="n">
        <f aca="false">+K10*12</f>
        <v>0</v>
      </c>
      <c r="M10" s="138"/>
    </row>
    <row r="11" customFormat="false" ht="12.75" hidden="false" customHeight="false" outlineLevel="0" collapsed="false">
      <c r="A11" s="135"/>
      <c r="B11" s="135"/>
      <c r="C11" s="73" t="s">
        <v>93</v>
      </c>
      <c r="D11" s="74" t="s">
        <v>94</v>
      </c>
      <c r="E11" s="74" t="s">
        <v>97</v>
      </c>
      <c r="F11" s="75" t="s">
        <v>96</v>
      </c>
      <c r="G11" s="76" t="n">
        <v>4</v>
      </c>
      <c r="H11" s="76" t="n">
        <v>8</v>
      </c>
      <c r="I11" s="129" t="n">
        <f aca="false">+J11*2</f>
        <v>0</v>
      </c>
      <c r="J11" s="129" t="n">
        <f aca="false">+'Vigilante 12x36 Noturno Arm'!$D$153</f>
        <v>0</v>
      </c>
      <c r="K11" s="78" t="n">
        <f aca="false">+J11*H11</f>
        <v>0</v>
      </c>
      <c r="L11" s="78" t="n">
        <f aca="false">+K11*12</f>
        <v>0</v>
      </c>
      <c r="M11" s="138"/>
    </row>
    <row r="12" customFormat="false" ht="13.5" hidden="false" customHeight="false" outlineLevel="0" collapsed="false">
      <c r="A12" s="135"/>
      <c r="B12" s="135"/>
      <c r="C12" s="80" t="s">
        <v>93</v>
      </c>
      <c r="D12" s="81" t="s">
        <v>157</v>
      </c>
      <c r="E12" s="81" t="s">
        <v>100</v>
      </c>
      <c r="F12" s="82" t="s">
        <v>101</v>
      </c>
      <c r="G12" s="83" t="n">
        <v>2</v>
      </c>
      <c r="H12" s="83" t="n">
        <v>2</v>
      </c>
      <c r="I12" s="139" t="n">
        <f aca="false">+J12</f>
        <v>0</v>
      </c>
      <c r="J12" s="139" t="n">
        <f aca="false">+'Vigilante 5x2 12h Arm'!$D$156</f>
        <v>0</v>
      </c>
      <c r="K12" s="85" t="n">
        <f aca="false">+J12*H12</f>
        <v>0</v>
      </c>
      <c r="L12" s="85" t="n">
        <f aca="false">+K12*12</f>
        <v>0</v>
      </c>
      <c r="M12" s="173" t="n">
        <f aca="false">+L12+L11+L10+L9</f>
        <v>0</v>
      </c>
    </row>
    <row r="13" customFormat="false" ht="13.5" hidden="false" customHeight="false" outlineLevel="0" collapsed="false">
      <c r="G13" s="158" t="n">
        <f aca="false">SUM(G3:G12)</f>
        <v>23</v>
      </c>
      <c r="H13" s="159" t="n">
        <f aca="false">SUM(H3:H12)</f>
        <v>42</v>
      </c>
      <c r="K13" s="190" t="n">
        <f aca="false">SUM(K3:K12)</f>
        <v>0</v>
      </c>
      <c r="L13" s="191" t="n">
        <f aca="false">+K13*12</f>
        <v>0</v>
      </c>
    </row>
    <row r="15" customFormat="false" ht="36" hidden="false" customHeight="false" outlineLevel="0" collapsed="false">
      <c r="D15" s="161" t="s">
        <v>81</v>
      </c>
      <c r="E15" s="161" t="s">
        <v>82</v>
      </c>
      <c r="F15" s="161" t="s">
        <v>83</v>
      </c>
      <c r="G15" s="161" t="s">
        <v>91</v>
      </c>
      <c r="H15" s="161" t="s">
        <v>92</v>
      </c>
    </row>
    <row r="16" customFormat="false" ht="12.75" hidden="false" customHeight="false" outlineLevel="0" collapsed="false">
      <c r="B16" s="34"/>
      <c r="C16" s="177" t="s">
        <v>93</v>
      </c>
      <c r="D16" s="74" t="s">
        <v>94</v>
      </c>
      <c r="E16" s="74" t="s">
        <v>95</v>
      </c>
      <c r="F16" s="75" t="s">
        <v>96</v>
      </c>
      <c r="G16" s="76" t="n">
        <f aca="false">+G3+G7+G10</f>
        <v>8</v>
      </c>
      <c r="H16" s="76" t="n">
        <f aca="false">+H3+H7+H10</f>
        <v>16</v>
      </c>
      <c r="I16" s="34"/>
    </row>
    <row r="17" customFormat="false" ht="12.75" hidden="false" customHeight="false" outlineLevel="0" collapsed="false">
      <c r="B17" s="34"/>
      <c r="C17" s="177" t="s">
        <v>93</v>
      </c>
      <c r="D17" s="74" t="s">
        <v>94</v>
      </c>
      <c r="E17" s="74" t="s">
        <v>97</v>
      </c>
      <c r="F17" s="75" t="s">
        <v>96</v>
      </c>
      <c r="G17" s="76" t="n">
        <f aca="false">+G4+G8+G11</f>
        <v>9</v>
      </c>
      <c r="H17" s="76" t="n">
        <f aca="false">+H4+H8+H11</f>
        <v>18</v>
      </c>
      <c r="I17" s="34"/>
    </row>
    <row r="18" customFormat="false" ht="12.75" hidden="false" customHeight="false" outlineLevel="0" collapsed="false">
      <c r="B18" s="34"/>
      <c r="C18" s="177" t="s">
        <v>93</v>
      </c>
      <c r="D18" s="74" t="s">
        <v>157</v>
      </c>
      <c r="E18" s="74" t="s">
        <v>100</v>
      </c>
      <c r="F18" s="75" t="s">
        <v>101</v>
      </c>
      <c r="G18" s="76" t="n">
        <f aca="false">+G5+G12</f>
        <v>4</v>
      </c>
      <c r="H18" s="76" t="n">
        <f aca="false">+H5+H12</f>
        <v>4</v>
      </c>
      <c r="I18" s="34"/>
    </row>
    <row r="19" customFormat="false" ht="4.5" hidden="false" customHeight="true" outlineLevel="0" collapsed="false">
      <c r="B19" s="34"/>
      <c r="C19" s="34"/>
      <c r="D19" s="34"/>
      <c r="E19" s="34"/>
      <c r="F19" s="34"/>
      <c r="G19" s="34"/>
      <c r="H19" s="34"/>
      <c r="I19" s="34"/>
    </row>
    <row r="20" customFormat="false" ht="13.5" hidden="false" customHeight="false" outlineLevel="0" collapsed="false">
      <c r="B20" s="34"/>
      <c r="C20" s="177" t="s">
        <v>98</v>
      </c>
      <c r="D20" s="74" t="s">
        <v>94</v>
      </c>
      <c r="E20" s="74" t="s">
        <v>95</v>
      </c>
      <c r="F20" s="75" t="s">
        <v>96</v>
      </c>
      <c r="G20" s="76" t="n">
        <f aca="false">+G9+G6</f>
        <v>2</v>
      </c>
      <c r="H20" s="76" t="n">
        <f aca="false">+H9+H6</f>
        <v>4</v>
      </c>
      <c r="I20" s="34"/>
    </row>
    <row r="21" customFormat="false" ht="13.5" hidden="false" customHeight="false" outlineLevel="0" collapsed="false">
      <c r="G21" s="163" t="n">
        <f aca="false">SUM(G16:G20)</f>
        <v>23</v>
      </c>
      <c r="H21" s="163" t="n">
        <f aca="false">SUM(H16:H20)</f>
        <v>42</v>
      </c>
    </row>
    <row r="23" customFormat="false" ht="12.75" hidden="false" customHeight="true" outlineLevel="0" collapsed="false">
      <c r="A23" s="165" t="s">
        <v>27</v>
      </c>
      <c r="B23" s="165"/>
      <c r="C23" s="165"/>
      <c r="D23" s="165"/>
      <c r="E23" s="165"/>
      <c r="F23" s="165"/>
      <c r="G23" s="165"/>
      <c r="H23" s="166" t="s">
        <v>28</v>
      </c>
      <c r="I23" s="121" t="s">
        <v>29</v>
      </c>
      <c r="J23" s="121"/>
      <c r="K23" s="167" t="s">
        <v>112</v>
      </c>
      <c r="L23" s="122" t="s">
        <v>113</v>
      </c>
      <c r="M23" s="122" t="s">
        <v>124</v>
      </c>
      <c r="N23" s="123" t="s">
        <v>125</v>
      </c>
    </row>
    <row r="24" customFormat="false" ht="40.5" hidden="false" customHeight="true" outlineLevel="0" collapsed="false">
      <c r="A24" s="165"/>
      <c r="B24" s="165"/>
      <c r="C24" s="165"/>
      <c r="D24" s="165"/>
      <c r="E24" s="165"/>
      <c r="F24" s="165"/>
      <c r="G24" s="165"/>
      <c r="H24" s="166"/>
      <c r="I24" s="168" t="s">
        <v>31</v>
      </c>
      <c r="J24" s="168" t="s">
        <v>32</v>
      </c>
      <c r="K24" s="167"/>
      <c r="L24" s="122"/>
      <c r="M24" s="122"/>
      <c r="N24" s="123"/>
    </row>
    <row r="25" customFormat="false" ht="25.5" hidden="false" customHeight="true" outlineLevel="0" collapsed="false">
      <c r="A25" s="20" t="s">
        <v>70</v>
      </c>
      <c r="B25" s="21" t="s">
        <v>71</v>
      </c>
      <c r="C25" s="21" t="s">
        <v>126</v>
      </c>
      <c r="D25" s="21"/>
      <c r="E25" s="21"/>
      <c r="F25" s="21"/>
      <c r="G25" s="21"/>
      <c r="H25" s="21" t="s">
        <v>38</v>
      </c>
      <c r="I25" s="128" t="n">
        <f aca="false">+G16</f>
        <v>8</v>
      </c>
      <c r="J25" s="128" t="n">
        <f aca="false">+H16</f>
        <v>16</v>
      </c>
      <c r="K25" s="78" t="n">
        <f aca="false">+L25*2</f>
        <v>0</v>
      </c>
      <c r="L25" s="129" t="n">
        <f aca="false">+'Vigilante 12X36 Diurno Arm'!$D$153</f>
        <v>0</v>
      </c>
      <c r="M25" s="78" t="n">
        <f aca="false">+L25*J25</f>
        <v>0</v>
      </c>
      <c r="N25" s="78" t="n">
        <f aca="false">+M25*12</f>
        <v>0</v>
      </c>
    </row>
    <row r="26" customFormat="false" ht="25.5" hidden="false" customHeight="true" outlineLevel="0" collapsed="false">
      <c r="A26" s="20"/>
      <c r="B26" s="21" t="s">
        <v>72</v>
      </c>
      <c r="C26" s="21" t="s">
        <v>127</v>
      </c>
      <c r="D26" s="21"/>
      <c r="E26" s="21"/>
      <c r="F26" s="21"/>
      <c r="G26" s="21"/>
      <c r="H26" s="21" t="s">
        <v>38</v>
      </c>
      <c r="I26" s="128" t="n">
        <f aca="false">+G17</f>
        <v>9</v>
      </c>
      <c r="J26" s="128" t="n">
        <f aca="false">+H17</f>
        <v>18</v>
      </c>
      <c r="K26" s="78" t="n">
        <f aca="false">+L26*2</f>
        <v>0</v>
      </c>
      <c r="L26" s="129" t="n">
        <f aca="false">+'Vigilante 12x36 Noturno Arm'!$D$153</f>
        <v>0</v>
      </c>
      <c r="M26" s="78" t="n">
        <f aca="false">+L26*J26</f>
        <v>0</v>
      </c>
      <c r="N26" s="78" t="n">
        <f aca="false">+M26*12</f>
        <v>0</v>
      </c>
    </row>
    <row r="27" customFormat="false" ht="25.5" hidden="false" customHeight="true" outlineLevel="0" collapsed="false">
      <c r="A27" s="20"/>
      <c r="B27" s="21" t="s">
        <v>73</v>
      </c>
      <c r="C27" s="21" t="s">
        <v>42</v>
      </c>
      <c r="D27" s="21"/>
      <c r="E27" s="21"/>
      <c r="F27" s="21"/>
      <c r="G27" s="21"/>
      <c r="H27" s="21" t="s">
        <v>43</v>
      </c>
      <c r="I27" s="128" t="n">
        <f aca="false">+G18</f>
        <v>4</v>
      </c>
      <c r="J27" s="128" t="n">
        <f aca="false">+H18</f>
        <v>4</v>
      </c>
      <c r="K27" s="129" t="n">
        <f aca="false">+L27</f>
        <v>0</v>
      </c>
      <c r="L27" s="129" t="n">
        <f aca="false">+'Vigilante 5x2 12h Arm'!$D$156</f>
        <v>0</v>
      </c>
      <c r="M27" s="78" t="n">
        <f aca="false">+L27*J27</f>
        <v>0</v>
      </c>
      <c r="N27" s="78" t="n">
        <f aca="false">+M27*12</f>
        <v>0</v>
      </c>
    </row>
    <row r="28" customFormat="false" ht="26.25" hidden="false" customHeight="true" outlineLevel="0" collapsed="false">
      <c r="A28" s="20"/>
      <c r="B28" s="21" t="s">
        <v>74</v>
      </c>
      <c r="C28" s="21" t="s">
        <v>143</v>
      </c>
      <c r="D28" s="21"/>
      <c r="E28" s="21"/>
      <c r="F28" s="21"/>
      <c r="G28" s="21"/>
      <c r="H28" s="21" t="s">
        <v>38</v>
      </c>
      <c r="I28" s="128" t="n">
        <f aca="false">+G20</f>
        <v>2</v>
      </c>
      <c r="J28" s="128" t="n">
        <f aca="false">+H20</f>
        <v>4</v>
      </c>
      <c r="K28" s="129" t="n">
        <f aca="false">+L28</f>
        <v>0</v>
      </c>
      <c r="L28" s="129" t="n">
        <f aca="false">+'Vigilante 12x36 Diurno Des'!$D$153</f>
        <v>0</v>
      </c>
      <c r="M28" s="78" t="n">
        <f aca="false">+L28*J28</f>
        <v>0</v>
      </c>
      <c r="N28" s="78" t="n">
        <f aca="false">+M28*12</f>
        <v>0</v>
      </c>
    </row>
    <row r="29" customFormat="false" ht="13.5" hidden="false" customHeight="false" outlineLevel="0" collapsed="false">
      <c r="I29" s="178" t="n">
        <f aca="false">SUM(I25:I28)</f>
        <v>23</v>
      </c>
      <c r="J29" s="178" t="n">
        <f aca="false">SUM(J25:J28)</f>
        <v>42</v>
      </c>
      <c r="M29" s="130" t="n">
        <f aca="false">SUM(M25:M28)</f>
        <v>0</v>
      </c>
      <c r="N29" s="179" t="n">
        <f aca="false">SUM(N25:N28)</f>
        <v>0</v>
      </c>
    </row>
  </sheetData>
  <mergeCells count="19">
    <mergeCell ref="A1:M1"/>
    <mergeCell ref="A2:B2"/>
    <mergeCell ref="A3:B5"/>
    <mergeCell ref="A6:B6"/>
    <mergeCell ref="A7:B8"/>
    <mergeCell ref="A9:B9"/>
    <mergeCell ref="A10:B12"/>
    <mergeCell ref="A23:G24"/>
    <mergeCell ref="H23:H24"/>
    <mergeCell ref="I23:J23"/>
    <mergeCell ref="K23:K24"/>
    <mergeCell ref="L23:L24"/>
    <mergeCell ref="M23:M24"/>
    <mergeCell ref="N23:N24"/>
    <mergeCell ref="A25:A28"/>
    <mergeCell ref="C25:G25"/>
    <mergeCell ref="C26:G26"/>
    <mergeCell ref="C27:G27"/>
    <mergeCell ref="C28:G28"/>
  </mergeCells>
  <printOptions headings="false" gridLines="false" gridLinesSet="true" horizontalCentered="false" verticalCentered="false"/>
  <pageMargins left="0.1" right="0.129861111111111" top="1.35972222222222" bottom="0.7875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N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30" activeCellId="0" sqref="E30"/>
    </sheetView>
  </sheetViews>
  <sheetFormatPr defaultRowHeight="12.75" zeroHeight="false" outlineLevelRow="0" outlineLevelCol="0"/>
  <cols>
    <col collapsed="false" customWidth="true" hidden="false" outlineLevel="0" max="1" min="1" style="0" width="8.59"/>
    <col collapsed="false" customWidth="true" hidden="false" outlineLevel="0" max="2" min="2" style="0" width="26.25"/>
    <col collapsed="false" customWidth="true" hidden="false" outlineLevel="0" max="4" min="3" style="0" width="8.59"/>
    <col collapsed="false" customWidth="true" hidden="false" outlineLevel="0" max="5" min="5" style="0" width="11.88"/>
    <col collapsed="false" customWidth="true" hidden="false" outlineLevel="0" max="6" min="6" style="0" width="17.5"/>
    <col collapsed="false" customWidth="true" hidden="false" outlineLevel="0" max="7" min="7" style="0" width="8.59"/>
    <col collapsed="false" customWidth="true" hidden="false" outlineLevel="0" max="8" min="8" style="0" width="11.88"/>
    <col collapsed="false" customWidth="true" hidden="false" outlineLevel="0" max="9" min="9" style="0" width="12.25"/>
    <col collapsed="false" customWidth="true" hidden="false" outlineLevel="0" max="10" min="10" style="0" width="11.88"/>
    <col collapsed="false" customWidth="true" hidden="false" outlineLevel="0" max="11" min="11" style="0" width="17"/>
    <col collapsed="false" customWidth="true" hidden="false" outlineLevel="0" max="12" min="12" style="0" width="18"/>
    <col collapsed="false" customWidth="true" hidden="false" outlineLevel="0" max="14" min="13" style="0" width="17.75"/>
    <col collapsed="false" customWidth="true" hidden="false" outlineLevel="0" max="1025" min="15" style="0" width="8.59"/>
  </cols>
  <sheetData>
    <row r="1" customFormat="false" ht="15" hidden="false" customHeight="true" outlineLevel="0" collapsed="false">
      <c r="A1" s="171" t="s">
        <v>180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171"/>
      <c r="M1" s="171"/>
    </row>
    <row r="2" customFormat="false" ht="45.75" hidden="false" customHeight="true" outlineLevel="0" collapsed="false">
      <c r="A2" s="132" t="s">
        <v>109</v>
      </c>
      <c r="B2" s="132"/>
      <c r="C2" s="61"/>
      <c r="D2" s="133" t="s">
        <v>81</v>
      </c>
      <c r="E2" s="133" t="s">
        <v>82</v>
      </c>
      <c r="F2" s="133" t="s">
        <v>83</v>
      </c>
      <c r="G2" s="133" t="s">
        <v>91</v>
      </c>
      <c r="H2" s="134" t="s">
        <v>92</v>
      </c>
      <c r="I2" s="62" t="s">
        <v>112</v>
      </c>
      <c r="J2" s="62" t="s">
        <v>113</v>
      </c>
      <c r="K2" s="62" t="s">
        <v>114</v>
      </c>
      <c r="L2" s="62" t="s">
        <v>115</v>
      </c>
      <c r="M2" s="63" t="s">
        <v>116</v>
      </c>
    </row>
    <row r="3" customFormat="false" ht="12.75" hidden="false" customHeight="true" outlineLevel="0" collapsed="false">
      <c r="A3" s="157" t="s">
        <v>181</v>
      </c>
      <c r="B3" s="157"/>
      <c r="C3" s="65" t="s">
        <v>93</v>
      </c>
      <c r="D3" s="66" t="s">
        <v>94</v>
      </c>
      <c r="E3" s="66" t="s">
        <v>95</v>
      </c>
      <c r="F3" s="67" t="s">
        <v>96</v>
      </c>
      <c r="G3" s="68" t="n">
        <v>2</v>
      </c>
      <c r="H3" s="68" t="n">
        <f aca="false">+G3*2</f>
        <v>4</v>
      </c>
      <c r="I3" s="70" t="n">
        <f aca="false">+J3*2</f>
        <v>0</v>
      </c>
      <c r="J3" s="136" t="n">
        <f aca="false">+'Vigilante 12X36 Diurno Arm'!$D$153</f>
        <v>0</v>
      </c>
      <c r="K3" s="70" t="n">
        <f aca="false">+J3*H3</f>
        <v>0</v>
      </c>
      <c r="L3" s="70" t="n">
        <f aca="false">+K3*12</f>
        <v>0</v>
      </c>
      <c r="M3" s="137"/>
    </row>
    <row r="4" customFormat="false" ht="13.5" hidden="false" customHeight="false" outlineLevel="0" collapsed="false">
      <c r="A4" s="157"/>
      <c r="B4" s="157"/>
      <c r="C4" s="149" t="s">
        <v>93</v>
      </c>
      <c r="D4" s="150" t="s">
        <v>94</v>
      </c>
      <c r="E4" s="150" t="s">
        <v>97</v>
      </c>
      <c r="F4" s="151" t="s">
        <v>96</v>
      </c>
      <c r="G4" s="152" t="n">
        <v>2</v>
      </c>
      <c r="H4" s="152" t="n">
        <f aca="false">+G4*2</f>
        <v>4</v>
      </c>
      <c r="I4" s="153" t="n">
        <f aca="false">+J4*2</f>
        <v>0</v>
      </c>
      <c r="J4" s="154" t="n">
        <f aca="false">+'Vigilante 12x36 Noturno Arm'!$D$153</f>
        <v>0</v>
      </c>
      <c r="K4" s="153" t="n">
        <f aca="false">+J4*H4</f>
        <v>0</v>
      </c>
      <c r="L4" s="153" t="n">
        <f aca="false">+K4*12</f>
        <v>0</v>
      </c>
      <c r="M4" s="172" t="n">
        <f aca="false">+L4+L3</f>
        <v>0</v>
      </c>
    </row>
    <row r="5" customFormat="false" ht="12.75" hidden="false" customHeight="true" outlineLevel="0" collapsed="false">
      <c r="A5" s="157" t="s">
        <v>182</v>
      </c>
      <c r="B5" s="157"/>
      <c r="C5" s="65" t="s">
        <v>93</v>
      </c>
      <c r="D5" s="66" t="s">
        <v>94</v>
      </c>
      <c r="E5" s="66" t="s">
        <v>95</v>
      </c>
      <c r="F5" s="67" t="s">
        <v>96</v>
      </c>
      <c r="G5" s="68" t="n">
        <v>1</v>
      </c>
      <c r="H5" s="68" t="n">
        <f aca="false">+G5*2</f>
        <v>2</v>
      </c>
      <c r="I5" s="70" t="n">
        <f aca="false">+J5*2</f>
        <v>0</v>
      </c>
      <c r="J5" s="136" t="n">
        <f aca="false">+'Vigilante 12X36 Diurno Arm'!$D$153</f>
        <v>0</v>
      </c>
      <c r="K5" s="70" t="n">
        <f aca="false">+J5*H5</f>
        <v>0</v>
      </c>
      <c r="L5" s="70" t="n">
        <f aca="false">+K5*12</f>
        <v>0</v>
      </c>
      <c r="M5" s="137"/>
    </row>
    <row r="6" customFormat="false" ht="13.5" hidden="false" customHeight="false" outlineLevel="0" collapsed="false">
      <c r="A6" s="157"/>
      <c r="B6" s="157"/>
      <c r="C6" s="149" t="s">
        <v>93</v>
      </c>
      <c r="D6" s="150" t="s">
        <v>94</v>
      </c>
      <c r="E6" s="150" t="s">
        <v>97</v>
      </c>
      <c r="F6" s="151" t="s">
        <v>96</v>
      </c>
      <c r="G6" s="152" t="n">
        <v>1</v>
      </c>
      <c r="H6" s="152" t="n">
        <f aca="false">+G6*2</f>
        <v>2</v>
      </c>
      <c r="I6" s="153" t="n">
        <f aca="false">+J6*2</f>
        <v>0</v>
      </c>
      <c r="J6" s="154" t="n">
        <f aca="false">+'Vigilante 12x36 Noturno Arm'!$D$153</f>
        <v>0</v>
      </c>
      <c r="K6" s="153" t="n">
        <f aca="false">+J6*H6</f>
        <v>0</v>
      </c>
      <c r="L6" s="153" t="n">
        <f aca="false">+K6*12</f>
        <v>0</v>
      </c>
      <c r="M6" s="172" t="n">
        <f aca="false">+L6+L5</f>
        <v>0</v>
      </c>
    </row>
    <row r="7" customFormat="false" ht="12.75" hidden="false" customHeight="true" outlineLevel="0" collapsed="false">
      <c r="A7" s="157" t="s">
        <v>183</v>
      </c>
      <c r="B7" s="157"/>
      <c r="C7" s="65" t="s">
        <v>93</v>
      </c>
      <c r="D7" s="66" t="s">
        <v>94</v>
      </c>
      <c r="E7" s="66" t="s">
        <v>95</v>
      </c>
      <c r="F7" s="67" t="s">
        <v>96</v>
      </c>
      <c r="G7" s="68" t="n">
        <v>1</v>
      </c>
      <c r="H7" s="68" t="n">
        <f aca="false">+G7*2</f>
        <v>2</v>
      </c>
      <c r="I7" s="70" t="n">
        <f aca="false">+J7*2</f>
        <v>0</v>
      </c>
      <c r="J7" s="136" t="n">
        <f aca="false">+'Vigilante 12X36 Diurno Arm'!$D$153</f>
        <v>0</v>
      </c>
      <c r="K7" s="70" t="n">
        <f aca="false">+J7*H7</f>
        <v>0</v>
      </c>
      <c r="L7" s="70" t="n">
        <f aca="false">+K7*12</f>
        <v>0</v>
      </c>
      <c r="M7" s="137"/>
    </row>
    <row r="8" customFormat="false" ht="13.5" hidden="false" customHeight="false" outlineLevel="0" collapsed="false">
      <c r="A8" s="157"/>
      <c r="B8" s="157"/>
      <c r="C8" s="149" t="s">
        <v>93</v>
      </c>
      <c r="D8" s="150" t="s">
        <v>94</v>
      </c>
      <c r="E8" s="150" t="s">
        <v>97</v>
      </c>
      <c r="F8" s="151" t="s">
        <v>96</v>
      </c>
      <c r="G8" s="152" t="n">
        <v>1</v>
      </c>
      <c r="H8" s="152" t="n">
        <f aca="false">+G8*2</f>
        <v>2</v>
      </c>
      <c r="I8" s="153" t="n">
        <f aca="false">+J8*2</f>
        <v>0</v>
      </c>
      <c r="J8" s="154" t="n">
        <f aca="false">+'Vigilante 12x36 Noturno Arm'!$D$153</f>
        <v>0</v>
      </c>
      <c r="K8" s="153" t="n">
        <f aca="false">+J8*H8</f>
        <v>0</v>
      </c>
      <c r="L8" s="153" t="n">
        <f aca="false">+K8*12</f>
        <v>0</v>
      </c>
      <c r="M8" s="172" t="n">
        <f aca="false">+L8+L7</f>
        <v>0</v>
      </c>
    </row>
    <row r="9" customFormat="false" ht="12.75" hidden="false" customHeight="true" outlineLevel="0" collapsed="false">
      <c r="A9" s="157" t="s">
        <v>184</v>
      </c>
      <c r="B9" s="157"/>
      <c r="C9" s="65" t="s">
        <v>93</v>
      </c>
      <c r="D9" s="66" t="s">
        <v>94</v>
      </c>
      <c r="E9" s="66" t="s">
        <v>95</v>
      </c>
      <c r="F9" s="67" t="s">
        <v>96</v>
      </c>
      <c r="G9" s="68" t="n">
        <v>1</v>
      </c>
      <c r="H9" s="68" t="n">
        <f aca="false">+G9*2</f>
        <v>2</v>
      </c>
      <c r="I9" s="70" t="n">
        <f aca="false">+J9*2</f>
        <v>0</v>
      </c>
      <c r="J9" s="136" t="n">
        <f aca="false">+'Vigilante 12X36 Diurno Arm'!$D$153</f>
        <v>0</v>
      </c>
      <c r="K9" s="70" t="n">
        <f aca="false">+J9*H9</f>
        <v>0</v>
      </c>
      <c r="L9" s="70" t="n">
        <f aca="false">+K9*12</f>
        <v>0</v>
      </c>
      <c r="M9" s="137"/>
    </row>
    <row r="10" customFormat="false" ht="13.5" hidden="false" customHeight="false" outlineLevel="0" collapsed="false">
      <c r="A10" s="157"/>
      <c r="B10" s="157"/>
      <c r="C10" s="149" t="s">
        <v>93</v>
      </c>
      <c r="D10" s="150" t="s">
        <v>94</v>
      </c>
      <c r="E10" s="150" t="s">
        <v>97</v>
      </c>
      <c r="F10" s="151" t="s">
        <v>96</v>
      </c>
      <c r="G10" s="152" t="n">
        <v>1</v>
      </c>
      <c r="H10" s="152" t="n">
        <f aca="false">+G10*2</f>
        <v>2</v>
      </c>
      <c r="I10" s="153" t="n">
        <f aca="false">+J10*2</f>
        <v>0</v>
      </c>
      <c r="J10" s="154" t="n">
        <f aca="false">+'Vigilante 12x36 Noturno Arm'!$D$153</f>
        <v>0</v>
      </c>
      <c r="K10" s="153" t="n">
        <f aca="false">+J10*H10</f>
        <v>0</v>
      </c>
      <c r="L10" s="153" t="n">
        <f aca="false">+K10*12</f>
        <v>0</v>
      </c>
      <c r="M10" s="172" t="n">
        <f aca="false">+L10+L9</f>
        <v>0</v>
      </c>
    </row>
    <row r="11" customFormat="false" ht="12.75" hidden="false" customHeight="true" outlineLevel="0" collapsed="false">
      <c r="A11" s="157" t="s">
        <v>185</v>
      </c>
      <c r="B11" s="157"/>
      <c r="C11" s="65" t="s">
        <v>93</v>
      </c>
      <c r="D11" s="66" t="s">
        <v>94</v>
      </c>
      <c r="E11" s="66" t="s">
        <v>95</v>
      </c>
      <c r="F11" s="67" t="s">
        <v>96</v>
      </c>
      <c r="G11" s="68" t="n">
        <v>1</v>
      </c>
      <c r="H11" s="68" t="n">
        <f aca="false">+G11*2</f>
        <v>2</v>
      </c>
      <c r="I11" s="70" t="n">
        <f aca="false">+J11*2</f>
        <v>0</v>
      </c>
      <c r="J11" s="136" t="n">
        <f aca="false">+'Vigilante 12X36 Diurno Arm'!$D$153</f>
        <v>0</v>
      </c>
      <c r="K11" s="70" t="n">
        <f aca="false">+J11*H11</f>
        <v>0</v>
      </c>
      <c r="L11" s="70" t="n">
        <f aca="false">+K11*12</f>
        <v>0</v>
      </c>
      <c r="M11" s="137"/>
    </row>
    <row r="12" customFormat="false" ht="12.75" hidden="false" customHeight="false" outlineLevel="0" collapsed="false">
      <c r="A12" s="157"/>
      <c r="B12" s="157"/>
      <c r="C12" s="73" t="s">
        <v>93</v>
      </c>
      <c r="D12" s="74" t="s">
        <v>94</v>
      </c>
      <c r="E12" s="74" t="s">
        <v>97</v>
      </c>
      <c r="F12" s="75" t="s">
        <v>96</v>
      </c>
      <c r="G12" s="76" t="n">
        <v>1</v>
      </c>
      <c r="H12" s="76" t="n">
        <f aca="false">+G12*2</f>
        <v>2</v>
      </c>
      <c r="I12" s="78" t="n">
        <f aca="false">+J12*2</f>
        <v>0</v>
      </c>
      <c r="J12" s="129" t="n">
        <f aca="false">+'Vigilante 12x36 Noturno Arm'!$D$153</f>
        <v>0</v>
      </c>
      <c r="K12" s="78" t="n">
        <f aca="false">+J12*H12</f>
        <v>0</v>
      </c>
      <c r="L12" s="78" t="n">
        <f aca="false">+K12*12</f>
        <v>0</v>
      </c>
      <c r="M12" s="138"/>
    </row>
    <row r="13" customFormat="false" ht="13.5" hidden="false" customHeight="false" outlineLevel="0" collapsed="false">
      <c r="A13" s="157"/>
      <c r="B13" s="157"/>
      <c r="C13" s="149" t="s">
        <v>93</v>
      </c>
      <c r="D13" s="150" t="s">
        <v>102</v>
      </c>
      <c r="E13" s="150" t="s">
        <v>103</v>
      </c>
      <c r="F13" s="151" t="s">
        <v>101</v>
      </c>
      <c r="G13" s="152" t="n">
        <v>1</v>
      </c>
      <c r="H13" s="152" t="n">
        <f aca="false">+G13*1</f>
        <v>1</v>
      </c>
      <c r="I13" s="154" t="n">
        <f aca="false">+J13</f>
        <v>0</v>
      </c>
      <c r="J13" s="154" t="n">
        <f aca="false">+'Vigilante 44h Arm'!$D$155</f>
        <v>0</v>
      </c>
      <c r="K13" s="153" t="n">
        <f aca="false">+J13*H13</f>
        <v>0</v>
      </c>
      <c r="L13" s="153" t="n">
        <f aca="false">+K13*12</f>
        <v>0</v>
      </c>
      <c r="M13" s="172" t="n">
        <f aca="false">+L13+L12+L11</f>
        <v>0</v>
      </c>
    </row>
    <row r="14" customFormat="false" ht="12.75" hidden="false" customHeight="true" outlineLevel="0" collapsed="false">
      <c r="A14" s="157" t="s">
        <v>186</v>
      </c>
      <c r="B14" s="157"/>
      <c r="C14" s="65" t="s">
        <v>93</v>
      </c>
      <c r="D14" s="66" t="s">
        <v>94</v>
      </c>
      <c r="E14" s="66" t="s">
        <v>95</v>
      </c>
      <c r="F14" s="67" t="s">
        <v>96</v>
      </c>
      <c r="G14" s="68" t="n">
        <v>2</v>
      </c>
      <c r="H14" s="68" t="n">
        <f aca="false">+G14*2</f>
        <v>4</v>
      </c>
      <c r="I14" s="70" t="n">
        <f aca="false">+J14*2</f>
        <v>0</v>
      </c>
      <c r="J14" s="136" t="n">
        <f aca="false">+'Vigilante 12X36 Diurno Arm'!$D$153</f>
        <v>0</v>
      </c>
      <c r="K14" s="70" t="n">
        <f aca="false">+J14*H14</f>
        <v>0</v>
      </c>
      <c r="L14" s="70" t="n">
        <f aca="false">+K14*12</f>
        <v>0</v>
      </c>
      <c r="M14" s="137"/>
    </row>
    <row r="15" customFormat="false" ht="13.5" hidden="false" customHeight="false" outlineLevel="0" collapsed="false">
      <c r="A15" s="157"/>
      <c r="B15" s="157"/>
      <c r="C15" s="80" t="s">
        <v>93</v>
      </c>
      <c r="D15" s="81" t="s">
        <v>94</v>
      </c>
      <c r="E15" s="81" t="s">
        <v>97</v>
      </c>
      <c r="F15" s="82" t="s">
        <v>96</v>
      </c>
      <c r="G15" s="83" t="n">
        <v>2</v>
      </c>
      <c r="H15" s="83" t="n">
        <f aca="false">+G15*2</f>
        <v>4</v>
      </c>
      <c r="I15" s="85" t="n">
        <f aca="false">+J15*2</f>
        <v>0</v>
      </c>
      <c r="J15" s="139" t="n">
        <f aca="false">+'Vigilante 12x36 Noturno Arm'!$D$153</f>
        <v>0</v>
      </c>
      <c r="K15" s="85" t="n">
        <f aca="false">+J15*H15</f>
        <v>0</v>
      </c>
      <c r="L15" s="85" t="n">
        <f aca="false">+K15*12</f>
        <v>0</v>
      </c>
      <c r="M15" s="173" t="n">
        <f aca="false">+L15+L14</f>
        <v>0</v>
      </c>
    </row>
    <row r="16" customFormat="false" ht="12.75" hidden="false" customHeight="false" outlineLevel="0" collapsed="false">
      <c r="G16" s="202" t="n">
        <f aca="false">SUM(G3:G15)</f>
        <v>17</v>
      </c>
      <c r="H16" s="202" t="n">
        <f aca="false">SUM(H3:H15)</f>
        <v>33</v>
      </c>
      <c r="K16" s="190" t="n">
        <f aca="false">SUM(K3:K15)</f>
        <v>0</v>
      </c>
      <c r="L16" s="203" t="n">
        <f aca="false">+K16*12</f>
        <v>0</v>
      </c>
    </row>
    <row r="18" customFormat="false" ht="36" hidden="false" customHeight="false" outlineLevel="0" collapsed="false">
      <c r="D18" s="161" t="s">
        <v>81</v>
      </c>
      <c r="E18" s="161" t="s">
        <v>82</v>
      </c>
      <c r="F18" s="161" t="s">
        <v>83</v>
      </c>
      <c r="G18" s="161" t="s">
        <v>91</v>
      </c>
      <c r="H18" s="161" t="s">
        <v>92</v>
      </c>
    </row>
    <row r="19" customFormat="false" ht="12.75" hidden="false" customHeight="false" outlineLevel="0" collapsed="false">
      <c r="C19" s="177" t="s">
        <v>93</v>
      </c>
      <c r="D19" s="74" t="s">
        <v>94</v>
      </c>
      <c r="E19" s="74" t="s">
        <v>95</v>
      </c>
      <c r="F19" s="75" t="s">
        <v>96</v>
      </c>
      <c r="G19" s="76" t="n">
        <f aca="false">+G3+G5+G7+G14+G9+G11</f>
        <v>8</v>
      </c>
      <c r="H19" s="76" t="n">
        <f aca="false">+H3+H5+H7+H14+H9+H11</f>
        <v>16</v>
      </c>
    </row>
    <row r="20" customFormat="false" ht="12.75" hidden="false" customHeight="false" outlineLevel="0" collapsed="false">
      <c r="C20" s="177" t="s">
        <v>93</v>
      </c>
      <c r="D20" s="74" t="s">
        <v>94</v>
      </c>
      <c r="E20" s="74" t="s">
        <v>97</v>
      </c>
      <c r="F20" s="75" t="s">
        <v>96</v>
      </c>
      <c r="G20" s="76" t="n">
        <f aca="false">+G4+G6+G8+G15+G10+G12</f>
        <v>8</v>
      </c>
      <c r="H20" s="76" t="n">
        <f aca="false">+H4+H6+H8+H15+H10+H12</f>
        <v>16</v>
      </c>
    </row>
    <row r="21" customFormat="false" ht="12.75" hidden="false" customHeight="false" outlineLevel="0" collapsed="false">
      <c r="C21" s="177" t="s">
        <v>93</v>
      </c>
      <c r="D21" s="74" t="s">
        <v>102</v>
      </c>
      <c r="E21" s="74" t="s">
        <v>103</v>
      </c>
      <c r="F21" s="75" t="s">
        <v>101</v>
      </c>
      <c r="G21" s="76" t="n">
        <f aca="false">+G13</f>
        <v>1</v>
      </c>
      <c r="H21" s="76" t="n">
        <f aca="false">+H13</f>
        <v>1</v>
      </c>
    </row>
    <row r="22" customFormat="false" ht="13.5" hidden="false" customHeight="false" outlineLevel="0" collapsed="false"/>
    <row r="23" customFormat="false" ht="13.5" hidden="false" customHeight="false" outlineLevel="0" collapsed="false">
      <c r="G23" s="163" t="n">
        <f aca="false">SUM(G19:G21)</f>
        <v>17</v>
      </c>
      <c r="H23" s="163" t="n">
        <f aca="false">SUM(H19:H21)</f>
        <v>33</v>
      </c>
    </row>
    <row r="25" customFormat="false" ht="12.75" hidden="false" customHeight="true" outlineLevel="0" collapsed="false">
      <c r="A25" s="165" t="s">
        <v>27</v>
      </c>
      <c r="B25" s="165"/>
      <c r="C25" s="165"/>
      <c r="D25" s="165"/>
      <c r="E25" s="165"/>
      <c r="F25" s="165"/>
      <c r="G25" s="165"/>
      <c r="H25" s="166" t="s">
        <v>28</v>
      </c>
      <c r="I25" s="121" t="s">
        <v>29</v>
      </c>
      <c r="J25" s="121"/>
      <c r="K25" s="167" t="s">
        <v>112</v>
      </c>
      <c r="L25" s="122" t="s">
        <v>113</v>
      </c>
      <c r="M25" s="122" t="s">
        <v>124</v>
      </c>
      <c r="N25" s="123" t="s">
        <v>125</v>
      </c>
    </row>
    <row r="26" customFormat="false" ht="12.75" hidden="false" customHeight="false" outlineLevel="0" collapsed="false">
      <c r="A26" s="165"/>
      <c r="B26" s="165"/>
      <c r="C26" s="165"/>
      <c r="D26" s="165"/>
      <c r="E26" s="165"/>
      <c r="F26" s="165"/>
      <c r="G26" s="165"/>
      <c r="H26" s="166"/>
      <c r="I26" s="168" t="s">
        <v>31</v>
      </c>
      <c r="J26" s="168" t="s">
        <v>32</v>
      </c>
      <c r="K26" s="167"/>
      <c r="L26" s="122"/>
      <c r="M26" s="122"/>
      <c r="N26" s="123"/>
    </row>
    <row r="27" customFormat="false" ht="25.5" hidden="false" customHeight="true" outlineLevel="0" collapsed="false">
      <c r="A27" s="20" t="s">
        <v>75</v>
      </c>
      <c r="B27" s="21" t="s">
        <v>76</v>
      </c>
      <c r="C27" s="21" t="s">
        <v>126</v>
      </c>
      <c r="D27" s="21"/>
      <c r="E27" s="21"/>
      <c r="F27" s="21"/>
      <c r="G27" s="21"/>
      <c r="H27" s="21" t="s">
        <v>38</v>
      </c>
      <c r="I27" s="128" t="n">
        <f aca="false">+G19</f>
        <v>8</v>
      </c>
      <c r="J27" s="128" t="n">
        <f aca="false">+H19</f>
        <v>16</v>
      </c>
      <c r="K27" s="78" t="n">
        <f aca="false">+L27*2</f>
        <v>0</v>
      </c>
      <c r="L27" s="129" t="n">
        <f aca="false">+'Vigilante 12X36 Diurno Arm'!$D$153</f>
        <v>0</v>
      </c>
      <c r="M27" s="78" t="n">
        <f aca="false">+L27*J27</f>
        <v>0</v>
      </c>
      <c r="N27" s="78" t="n">
        <f aca="false">+M27*12</f>
        <v>0</v>
      </c>
    </row>
    <row r="28" customFormat="false" ht="25.5" hidden="false" customHeight="true" outlineLevel="0" collapsed="false">
      <c r="A28" s="20"/>
      <c r="B28" s="21" t="s">
        <v>77</v>
      </c>
      <c r="C28" s="21" t="s">
        <v>127</v>
      </c>
      <c r="D28" s="21"/>
      <c r="E28" s="21"/>
      <c r="F28" s="21"/>
      <c r="G28" s="21"/>
      <c r="H28" s="21" t="s">
        <v>38</v>
      </c>
      <c r="I28" s="128" t="n">
        <f aca="false">+G20</f>
        <v>8</v>
      </c>
      <c r="J28" s="128" t="n">
        <f aca="false">+H20</f>
        <v>16</v>
      </c>
      <c r="K28" s="78" t="n">
        <f aca="false">+L28*2</f>
        <v>0</v>
      </c>
      <c r="L28" s="129" t="n">
        <f aca="false">+'Vigilante 12x36 Noturno Arm'!$D$153</f>
        <v>0</v>
      </c>
      <c r="M28" s="78" t="n">
        <f aca="false">+L28*J28</f>
        <v>0</v>
      </c>
      <c r="N28" s="78" t="n">
        <f aca="false">+M28*12</f>
        <v>0</v>
      </c>
    </row>
    <row r="29" customFormat="false" ht="26.25" hidden="false" customHeight="true" outlineLevel="0" collapsed="false">
      <c r="A29" s="20"/>
      <c r="B29" s="21" t="s">
        <v>78</v>
      </c>
      <c r="C29" s="21" t="s">
        <v>45</v>
      </c>
      <c r="D29" s="21"/>
      <c r="E29" s="21"/>
      <c r="F29" s="21"/>
      <c r="G29" s="21"/>
      <c r="H29" s="21" t="s">
        <v>43</v>
      </c>
      <c r="I29" s="128" t="n">
        <f aca="false">+G21</f>
        <v>1</v>
      </c>
      <c r="J29" s="128" t="n">
        <f aca="false">+H21</f>
        <v>1</v>
      </c>
      <c r="K29" s="129" t="n">
        <f aca="false">+L29</f>
        <v>0</v>
      </c>
      <c r="L29" s="129" t="n">
        <f aca="false">+'Vigilante 44h Arm'!$D$155</f>
        <v>0</v>
      </c>
      <c r="M29" s="78" t="n">
        <f aca="false">+L29*J29</f>
        <v>0</v>
      </c>
      <c r="N29" s="78" t="n">
        <f aca="false">+M29*12</f>
        <v>0</v>
      </c>
    </row>
    <row r="30" customFormat="false" ht="13.5" hidden="false" customHeight="false" outlineLevel="0" collapsed="false">
      <c r="I30" s="178" t="n">
        <f aca="false">SUM(I27:I29)</f>
        <v>17</v>
      </c>
      <c r="J30" s="178" t="n">
        <f aca="false">SUM(J27:J29)</f>
        <v>33</v>
      </c>
      <c r="M30" s="130" t="n">
        <f aca="false">SUM(M27:M29)</f>
        <v>0</v>
      </c>
      <c r="N30" s="179" t="n">
        <f aca="false">SUM(N27:N29)</f>
        <v>0</v>
      </c>
    </row>
  </sheetData>
  <mergeCells count="19">
    <mergeCell ref="A1:M1"/>
    <mergeCell ref="A2:B2"/>
    <mergeCell ref="A3:B4"/>
    <mergeCell ref="A5:B6"/>
    <mergeCell ref="A7:B8"/>
    <mergeCell ref="A9:B10"/>
    <mergeCell ref="A11:B13"/>
    <mergeCell ref="A14:B15"/>
    <mergeCell ref="A25:G26"/>
    <mergeCell ref="H25:H26"/>
    <mergeCell ref="I25:J25"/>
    <mergeCell ref="K25:K26"/>
    <mergeCell ref="L25:L26"/>
    <mergeCell ref="M25:M26"/>
    <mergeCell ref="N25:N26"/>
    <mergeCell ref="A27:A29"/>
    <mergeCell ref="C27:G27"/>
    <mergeCell ref="C28:G28"/>
    <mergeCell ref="C29:G29"/>
  </mergeCells>
  <printOptions headings="false" gridLines="false" gridLinesSet="true" horizontalCentered="false" verticalCentered="false"/>
  <pageMargins left="0.0798611111111111" right="0.0701388888888889" top="1.07013888888889" bottom="0.7875" header="0.511805555555555" footer="0.315277777777778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>&amp;C&amp;A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LibreOffice/5.3.3.2$Windows_x86 LibreOffice_project/3d9a8b4b4e538a85e0782bd6c2d430bafe583448</Application>
  <Company>Microsoft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2017-09-28T13:23:26Z</dcterms:created>
  <dc:creator>marcelao</dc:creator>
  <dc:description/>
  <dc:language>pt-BR</dc:language>
  <cp:lastModifiedBy>marcelao</cp:lastModifiedBy>
  <cp:lastPrinted>2018-07-31T14:36:57Z</cp:lastPrinted>
  <dcterms:modified xsi:type="dcterms:W3CDTF">2018-09-10T17:54:38Z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