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7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iegopaulo\Downloads\"/>
    </mc:Choice>
  </mc:AlternateContent>
  <xr:revisionPtr revIDLastSave="0" documentId="13_ncr:1_{B62147F0-19F2-41F5-9E49-2D902667D3BB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Apresentação" sheetId="1" r:id="rId1"/>
    <sheet name="Demanda LOTE I" sheetId="7" r:id="rId2"/>
    <sheet name="Demanda LOTE II" sheetId="23" r:id="rId3"/>
    <sheet name="Demanda LOTE III" sheetId="24" r:id="rId4"/>
    <sheet name="Demanda LOTE IV" sheetId="25" r:id="rId5"/>
    <sheet name="Vigilante 12X36 Diurno Arm" sheetId="2" r:id="rId6"/>
    <sheet name="Calculo 12 36 Diu Arm" sheetId="4" r:id="rId7"/>
    <sheet name="Vigilante 12x36 Noturno Arm" sheetId="6" r:id="rId8"/>
    <sheet name="Calculo 12 36 Not Arm" sheetId="5" r:id="rId9"/>
    <sheet name="Vigilante 12X36 Diurno Des" sheetId="9" r:id="rId10"/>
    <sheet name="Calculo 12 36 Diu Des" sheetId="10" r:id="rId11"/>
    <sheet name="Vigilante 12X36 Noturno Des" sheetId="11" r:id="rId12"/>
    <sheet name="Calculo 12 36 Not Des" sheetId="12" r:id="rId13"/>
    <sheet name="Vigilante 5x2 12h Arm" sheetId="13" r:id="rId14"/>
    <sheet name="Calculo 5x2 12h Arm" sheetId="14" r:id="rId15"/>
    <sheet name="Vigilante 5x2 12h Desar" sheetId="17" r:id="rId16"/>
    <sheet name="Calculo 5x2 12h Desar" sheetId="18" r:id="rId17"/>
    <sheet name="Vigilante 44h Arm" sheetId="19" r:id="rId18"/>
    <sheet name="Calculo 44h Arm" sheetId="20" r:id="rId19"/>
    <sheet name="Vigilante 44h Desarm" sheetId="21" r:id="rId20"/>
    <sheet name="Calculo 44h Desarm" sheetId="22" r:id="rId21"/>
    <sheet name="Vigilante Xerem 12x36 Diu Arm " sheetId="26" r:id="rId22"/>
    <sheet name="Calculo Xerem 12x36 diu" sheetId="27" r:id="rId23"/>
    <sheet name="Vigilante Xerem 12x36 not Arm" sheetId="28" r:id="rId24"/>
    <sheet name="Calculo Xerem 12x36 not" sheetId="29" r:id="rId25"/>
    <sheet name="Vigilante Xerem 44h des" sheetId="30" r:id="rId26"/>
    <sheet name="Calculo Xerem 44h des" sheetId="31" r:id="rId27"/>
    <sheet name="Uniforme" sheetId="3" r:id="rId28"/>
  </sheets>
  <definedNames>
    <definedName name="_xlnm.Print_Area" localSheetId="0">Apresentação!$A$8:$L$74</definedName>
    <definedName name="_xlnm.Print_Area" localSheetId="6">'Calculo 12 36 Diu Arm'!$A$1:$C$230</definedName>
    <definedName name="_xlnm.Print_Area" localSheetId="10">'Calculo 12 36 Diu Des'!$A$1:$C$230</definedName>
    <definedName name="_xlnm.Print_Area" localSheetId="8">'Calculo 12 36 Not Arm'!$A$1:$C$230</definedName>
    <definedName name="_xlnm.Print_Area" localSheetId="12">'Calculo 12 36 Not Des'!$A$1:$C$230</definedName>
    <definedName name="_xlnm.Print_Area" localSheetId="18">'Calculo 44h Arm'!$A$1:$C$245</definedName>
    <definedName name="_xlnm.Print_Area" localSheetId="14">'Calculo 5x2 12h Arm'!$A$1:$C$244</definedName>
    <definedName name="_xlnm.Print_Area" localSheetId="16">'Calculo 5x2 12h Desar'!$A$1:$C$244</definedName>
    <definedName name="_xlnm.Print_Area" localSheetId="22">'Calculo Xerem 12x36 diu'!$A$1:$C$230</definedName>
    <definedName name="_xlnm.Print_Area" localSheetId="24">'Calculo Xerem 12x36 not'!$A$1:$C$230</definedName>
    <definedName name="_xlnm.Print_Area" localSheetId="26">'Calculo Xerem 44h des'!$A$1:$C$244</definedName>
    <definedName name="_xlnm.Print_Area" localSheetId="1">'Demanda LOTE I'!$A$1:$N$32</definedName>
    <definedName name="_xlnm.Print_Area" localSheetId="2">'Demanda LOTE II'!$A$1:$N$32</definedName>
    <definedName name="_xlnm.Print_Area" localSheetId="3">'Demanda LOTE III'!$A$1:$N$49</definedName>
    <definedName name="_xlnm.Print_Area" localSheetId="4">'Demanda LOTE IV'!$A$1:$N$23</definedName>
    <definedName name="_xlnm.Print_Area" localSheetId="27">Uniforme!$A$1:$G$174</definedName>
    <definedName name="_xlnm.Print_Area" localSheetId="5">'Vigilante 12X36 Diurno Arm'!$A$1:$D$171</definedName>
    <definedName name="_xlnm.Print_Area" localSheetId="9">'Vigilante 12X36 Diurno Des'!$A$1:$D$170</definedName>
    <definedName name="_xlnm.Print_Area" localSheetId="7">'Vigilante 12x36 Noturno Arm'!$A$1:$D$171</definedName>
    <definedName name="_xlnm.Print_Area" localSheetId="11">'Vigilante 12X36 Noturno Des'!$A$1:$D$174</definedName>
    <definedName name="_xlnm.Print_Area" localSheetId="17">'Vigilante 44h Arm'!$A$1:$D$172</definedName>
    <definedName name="_xlnm.Print_Area" localSheetId="19">'Vigilante 44h Desarm'!$A$1:$D$172</definedName>
    <definedName name="_xlnm.Print_Area" localSheetId="13">'Vigilante 5x2 12h Arm'!$A$1:$D$173</definedName>
    <definedName name="_xlnm.Print_Area" localSheetId="15">'Vigilante 5x2 12h Desar'!$A$1:$D$171</definedName>
    <definedName name="_xlnm.Print_Area" localSheetId="21">'Vigilante Xerem 12x36 Diu Arm '!$A$1:$D$171</definedName>
    <definedName name="_xlnm.Print_Area" localSheetId="23">'Vigilante Xerem 12x36 not Arm'!$A$1:$D$171</definedName>
    <definedName name="_xlnm.Print_Area" localSheetId="25">'Vigilante Xerem 44h des'!$A$1:$D$172</definedName>
    <definedName name="OLE_LINK1" localSheetId="0">Apresentação!#REF!</definedName>
    <definedName name="_xlnm.Print_Titles" localSheetId="0">Apresentação!$8:$19</definedName>
  </definedNames>
  <calcPr calcId="179021" iterateDelta="1E-4" concurrentCalc="0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D12" i="28" l="1"/>
  <c r="D13" i="28"/>
  <c r="B65" i="29"/>
  <c r="C58" i="29"/>
  <c r="C59" i="29"/>
  <c r="C60" i="29"/>
  <c r="C61" i="29"/>
  <c r="B62" i="29"/>
  <c r="C64" i="29"/>
  <c r="C66" i="29"/>
  <c r="D15" i="28"/>
  <c r="B95" i="29"/>
  <c r="B84" i="29"/>
  <c r="B85" i="29"/>
  <c r="B96" i="29"/>
  <c r="B97" i="29"/>
  <c r="C86" i="29"/>
  <c r="C87" i="29"/>
  <c r="C88" i="29"/>
  <c r="C89" i="29"/>
  <c r="B90" i="29"/>
  <c r="C92" i="29"/>
  <c r="C98" i="29"/>
  <c r="D16" i="28"/>
  <c r="D23" i="28"/>
  <c r="B7" i="29"/>
  <c r="B6" i="29"/>
  <c r="D12" i="2"/>
  <c r="D13" i="2"/>
  <c r="D23" i="2"/>
  <c r="D31" i="2"/>
  <c r="D32" i="2"/>
  <c r="D30" i="2"/>
  <c r="D29" i="2"/>
  <c r="D33" i="2"/>
  <c r="D37" i="2"/>
  <c r="G11" i="25"/>
  <c r="H7" i="24"/>
  <c r="H10" i="24"/>
  <c r="H25" i="24"/>
  <c r="H34" i="24"/>
  <c r="G34" i="24"/>
  <c r="H4" i="24"/>
  <c r="H13" i="24"/>
  <c r="H16" i="24"/>
  <c r="H19" i="24"/>
  <c r="H22" i="24"/>
  <c r="H30" i="24"/>
  <c r="G30" i="24"/>
  <c r="H5" i="24"/>
  <c r="H17" i="24"/>
  <c r="H23" i="24"/>
  <c r="H36" i="24"/>
  <c r="H8" i="24"/>
  <c r="H14" i="24"/>
  <c r="H11" i="24"/>
  <c r="H35" i="24"/>
  <c r="H3" i="24"/>
  <c r="H6" i="24"/>
  <c r="H12" i="24"/>
  <c r="H15" i="24"/>
  <c r="H21" i="24"/>
  <c r="H24" i="24"/>
  <c r="H9" i="24"/>
  <c r="H33" i="24"/>
  <c r="G35" i="24"/>
  <c r="G33" i="24"/>
  <c r="H7" i="25"/>
  <c r="H14" i="25"/>
  <c r="G14" i="25"/>
  <c r="C45" i="29"/>
  <c r="C44" i="29"/>
  <c r="C41" i="29"/>
  <c r="B168" i="31"/>
  <c r="B146" i="31"/>
  <c r="C59" i="31"/>
  <c r="C58" i="31"/>
  <c r="C57" i="31"/>
  <c r="C56" i="31"/>
  <c r="C55" i="31"/>
  <c r="C16" i="31"/>
  <c r="C15" i="31"/>
  <c r="C14" i="31"/>
  <c r="C13" i="31"/>
  <c r="C12" i="31"/>
  <c r="B5" i="31"/>
  <c r="B222" i="31"/>
  <c r="B161" i="31"/>
  <c r="B139" i="31"/>
  <c r="B127" i="31"/>
  <c r="C130" i="31"/>
  <c r="D53" i="30"/>
  <c r="B124" i="31"/>
  <c r="B118" i="31"/>
  <c r="B115" i="31"/>
  <c r="B109" i="31"/>
  <c r="B104" i="31"/>
  <c r="C103" i="31"/>
  <c r="C106" i="31"/>
  <c r="B98" i="31"/>
  <c r="B99" i="31"/>
  <c r="B94" i="31"/>
  <c r="B85" i="31"/>
  <c r="B88" i="31"/>
  <c r="B90" i="31"/>
  <c r="B79" i="31"/>
  <c r="C75" i="31"/>
  <c r="B76" i="31"/>
  <c r="C78" i="31"/>
  <c r="C80" i="31"/>
  <c r="C83" i="31"/>
  <c r="C91" i="31"/>
  <c r="B63" i="31"/>
  <c r="B61" i="31"/>
  <c r="B41" i="31"/>
  <c r="C42" i="31"/>
  <c r="C44" i="31"/>
  <c r="B31" i="31"/>
  <c r="B34" i="31"/>
  <c r="B21" i="31"/>
  <c r="B22" i="31"/>
  <c r="B18" i="31"/>
  <c r="B46" i="31"/>
  <c r="B48" i="31"/>
  <c r="B49" i="31"/>
  <c r="C50" i="31"/>
  <c r="C144" i="30"/>
  <c r="C125" i="30"/>
  <c r="D125" i="30"/>
  <c r="C123" i="30"/>
  <c r="C121" i="30"/>
  <c r="D121" i="30"/>
  <c r="C119" i="30"/>
  <c r="D106" i="30"/>
  <c r="D112" i="30"/>
  <c r="C62" i="30"/>
  <c r="D62" i="30"/>
  <c r="C60" i="30"/>
  <c r="C58" i="30"/>
  <c r="D58" i="30"/>
  <c r="C56" i="30"/>
  <c r="D56" i="30"/>
  <c r="C54" i="30"/>
  <c r="C52" i="30"/>
  <c r="C41" i="30"/>
  <c r="C47" i="30"/>
  <c r="B243" i="31"/>
  <c r="D13" i="30"/>
  <c r="D60" i="30"/>
  <c r="B229" i="29"/>
  <c r="B223" i="29"/>
  <c r="B222" i="29"/>
  <c r="C203" i="29"/>
  <c r="C202" i="29"/>
  <c r="C201" i="29"/>
  <c r="C199" i="29"/>
  <c r="B154" i="29"/>
  <c r="B149" i="29"/>
  <c r="B148" i="29"/>
  <c r="B132" i="29"/>
  <c r="B127" i="29"/>
  <c r="B126" i="29"/>
  <c r="C15" i="29"/>
  <c r="C14" i="29"/>
  <c r="C11" i="29"/>
  <c r="C10" i="29"/>
  <c r="B183" i="29"/>
  <c r="C188" i="29"/>
  <c r="D88" i="28"/>
  <c r="B101" i="29"/>
  <c r="B104" i="29"/>
  <c r="C107" i="29"/>
  <c r="D49" i="28"/>
  <c r="B110" i="29"/>
  <c r="B113" i="29"/>
  <c r="C116" i="29"/>
  <c r="D51" i="28"/>
  <c r="B208" i="29"/>
  <c r="B147" i="29"/>
  <c r="B125" i="29"/>
  <c r="B80" i="29"/>
  <c r="B71" i="29"/>
  <c r="B74" i="29"/>
  <c r="B76" i="29"/>
  <c r="B49" i="29"/>
  <c r="B47" i="29"/>
  <c r="B30" i="29"/>
  <c r="B33" i="29"/>
  <c r="B35" i="29"/>
  <c r="B21" i="29"/>
  <c r="B17" i="29"/>
  <c r="B5" i="29"/>
  <c r="C142" i="28"/>
  <c r="C123" i="28"/>
  <c r="D123" i="28"/>
  <c r="C121" i="28"/>
  <c r="C119" i="28"/>
  <c r="D119" i="28"/>
  <c r="C117" i="28"/>
  <c r="C60" i="28"/>
  <c r="D60" i="28"/>
  <c r="C58" i="28"/>
  <c r="C56" i="28"/>
  <c r="D56" i="28"/>
  <c r="C54" i="28"/>
  <c r="D54" i="28"/>
  <c r="C52" i="28"/>
  <c r="C50" i="28"/>
  <c r="C39" i="28"/>
  <c r="C45" i="28"/>
  <c r="D58" i="28"/>
  <c r="B154" i="27"/>
  <c r="B132" i="27"/>
  <c r="C88" i="27"/>
  <c r="C60" i="27"/>
  <c r="C45" i="27"/>
  <c r="C44" i="27"/>
  <c r="C43" i="27"/>
  <c r="C42" i="27"/>
  <c r="C41" i="27"/>
  <c r="C15" i="27"/>
  <c r="C14" i="27"/>
  <c r="C13" i="27"/>
  <c r="C12" i="27"/>
  <c r="B208" i="27"/>
  <c r="B147" i="27"/>
  <c r="B125" i="27"/>
  <c r="B110" i="27"/>
  <c r="B113" i="27"/>
  <c r="C116" i="27"/>
  <c r="D51" i="26"/>
  <c r="B101" i="27"/>
  <c r="B104" i="27"/>
  <c r="B95" i="27"/>
  <c r="B84" i="27"/>
  <c r="B85" i="27"/>
  <c r="B96" i="27"/>
  <c r="B97" i="27"/>
  <c r="B90" i="27"/>
  <c r="B80" i="27"/>
  <c r="B71" i="27"/>
  <c r="B74" i="27"/>
  <c r="B76" i="27"/>
  <c r="B65" i="27"/>
  <c r="B62" i="27"/>
  <c r="B49" i="27"/>
  <c r="B47" i="27"/>
  <c r="B30" i="27"/>
  <c r="B33" i="27"/>
  <c r="B35" i="27"/>
  <c r="B21" i="27"/>
  <c r="B17" i="27"/>
  <c r="B5" i="27"/>
  <c r="C142" i="26"/>
  <c r="C123" i="26"/>
  <c r="D123" i="26"/>
  <c r="C121" i="26"/>
  <c r="C119" i="26"/>
  <c r="D119" i="26"/>
  <c r="C117" i="26"/>
  <c r="C60" i="26"/>
  <c r="D60" i="26"/>
  <c r="C58" i="26"/>
  <c r="C56" i="26"/>
  <c r="D56" i="26"/>
  <c r="C54" i="26"/>
  <c r="D54" i="26"/>
  <c r="C52" i="26"/>
  <c r="C50" i="26"/>
  <c r="C39" i="26"/>
  <c r="C45" i="26"/>
  <c r="B229" i="27"/>
  <c r="D12" i="26"/>
  <c r="D13" i="26"/>
  <c r="C59" i="27"/>
  <c r="C58" i="27"/>
  <c r="G14" i="23"/>
  <c r="I26" i="23"/>
  <c r="G39" i="1"/>
  <c r="G19" i="7"/>
  <c r="I30" i="7"/>
  <c r="G33" i="1"/>
  <c r="G20" i="7"/>
  <c r="G18" i="7"/>
  <c r="G17" i="7"/>
  <c r="G15" i="7"/>
  <c r="I27" i="7"/>
  <c r="G30" i="1"/>
  <c r="I31" i="7"/>
  <c r="G34" i="1"/>
  <c r="I29" i="7"/>
  <c r="G32" i="1"/>
  <c r="I28" i="7"/>
  <c r="G31" i="1"/>
  <c r="D54" i="30"/>
  <c r="B6" i="31"/>
  <c r="C39" i="27"/>
  <c r="C86" i="27"/>
  <c r="C87" i="27"/>
  <c r="C89" i="27"/>
  <c r="C92" i="27"/>
  <c r="C98" i="27"/>
  <c r="B110" i="31"/>
  <c r="B111" i="31"/>
  <c r="C112" i="31"/>
  <c r="C10" i="31"/>
  <c r="C39" i="29"/>
  <c r="D58" i="26"/>
  <c r="C11" i="27"/>
  <c r="C10" i="27"/>
  <c r="C16" i="27"/>
  <c r="C18" i="27"/>
  <c r="C21" i="27"/>
  <c r="C22" i="27"/>
  <c r="C23" i="27"/>
  <c r="C25" i="27"/>
  <c r="B6" i="27"/>
  <c r="C107" i="27"/>
  <c r="D49" i="26"/>
  <c r="D50" i="26"/>
  <c r="C40" i="27"/>
  <c r="D52" i="28"/>
  <c r="C121" i="31"/>
  <c r="D51" i="30"/>
  <c r="D52" i="30"/>
  <c r="B36" i="31"/>
  <c r="C37" i="31"/>
  <c r="D14" i="30"/>
  <c r="B139" i="29"/>
  <c r="C144" i="29"/>
  <c r="D76" i="28"/>
  <c r="C204" i="29"/>
  <c r="B224" i="29"/>
  <c r="C230" i="29"/>
  <c r="B167" i="29"/>
  <c r="C171" i="29"/>
  <c r="D86" i="28"/>
  <c r="C12" i="29"/>
  <c r="C43" i="29"/>
  <c r="D50" i="28"/>
  <c r="B174" i="29"/>
  <c r="C180" i="29"/>
  <c r="D87" i="28"/>
  <c r="B213" i="29"/>
  <c r="B119" i="29"/>
  <c r="C122" i="29"/>
  <c r="D73" i="28"/>
  <c r="D74" i="28"/>
  <c r="B191" i="29"/>
  <c r="C196" i="29"/>
  <c r="D90" i="28"/>
  <c r="C61" i="27"/>
  <c r="C64" i="27"/>
  <c r="C66" i="27"/>
  <c r="C69" i="27"/>
  <c r="C77" i="27"/>
  <c r="D23" i="26"/>
  <c r="D145" i="26"/>
  <c r="D52" i="26"/>
  <c r="G35" i="1"/>
  <c r="C46" i="27"/>
  <c r="C48" i="27"/>
  <c r="C51" i="27"/>
  <c r="C11" i="31"/>
  <c r="C17" i="31"/>
  <c r="C19" i="31"/>
  <c r="C22" i="31"/>
  <c r="C23" i="31"/>
  <c r="C24" i="31"/>
  <c r="C26" i="31"/>
  <c r="C54" i="31"/>
  <c r="C60" i="31"/>
  <c r="C62" i="31"/>
  <c r="C65" i="31"/>
  <c r="D25" i="30"/>
  <c r="D31" i="30"/>
  <c r="D93" i="28"/>
  <c r="D107" i="28"/>
  <c r="C40" i="29"/>
  <c r="D61" i="28"/>
  <c r="D67" i="28"/>
  <c r="D63" i="30"/>
  <c r="D69" i="30"/>
  <c r="D34" i="30"/>
  <c r="D33" i="30"/>
  <c r="C13" i="29"/>
  <c r="C16" i="29"/>
  <c r="C18" i="29"/>
  <c r="B214" i="29"/>
  <c r="B215" i="29"/>
  <c r="C220" i="29"/>
  <c r="D96" i="28"/>
  <c r="D100" i="28"/>
  <c r="D108" i="28"/>
  <c r="D32" i="26"/>
  <c r="C32" i="26"/>
  <c r="C159" i="26"/>
  <c r="B126" i="27"/>
  <c r="B222" i="27"/>
  <c r="B7" i="27"/>
  <c r="C199" i="27"/>
  <c r="B148" i="27"/>
  <c r="D29" i="26"/>
  <c r="D162" i="26"/>
  <c r="D31" i="26"/>
  <c r="C31" i="26"/>
  <c r="C158" i="26"/>
  <c r="C28" i="27"/>
  <c r="C36" i="27"/>
  <c r="D61" i="26"/>
  <c r="D67" i="26"/>
  <c r="D158" i="26"/>
  <c r="B163" i="31"/>
  <c r="B141" i="31"/>
  <c r="B237" i="31"/>
  <c r="B165" i="31"/>
  <c r="B143" i="31"/>
  <c r="B164" i="31"/>
  <c r="B142" i="31"/>
  <c r="B7" i="31"/>
  <c r="B140" i="31"/>
  <c r="C213" i="31"/>
  <c r="B162" i="31"/>
  <c r="B236" i="31"/>
  <c r="D147" i="30"/>
  <c r="D109" i="28"/>
  <c r="C69" i="29"/>
  <c r="C77" i="29"/>
  <c r="D163" i="26"/>
  <c r="C29" i="26"/>
  <c r="C157" i="26"/>
  <c r="D157" i="26"/>
  <c r="C34" i="30"/>
  <c r="C161" i="30"/>
  <c r="D166" i="30"/>
  <c r="D161" i="30"/>
  <c r="D159" i="30"/>
  <c r="C31" i="30"/>
  <c r="C159" i="30"/>
  <c r="D164" i="30"/>
  <c r="D160" i="30"/>
  <c r="D165" i="30"/>
  <c r="D32" i="30"/>
  <c r="C33" i="30"/>
  <c r="C160" i="30"/>
  <c r="C28" i="29"/>
  <c r="C36" i="29"/>
  <c r="C21" i="29"/>
  <c r="C22" i="29"/>
  <c r="C23" i="29"/>
  <c r="C25" i="29"/>
  <c r="D164" i="26"/>
  <c r="B223" i="27"/>
  <c r="B224" i="27"/>
  <c r="C230" i="27"/>
  <c r="B174" i="27"/>
  <c r="C180" i="27"/>
  <c r="D87" i="26"/>
  <c r="B167" i="27"/>
  <c r="C171" i="27"/>
  <c r="D86" i="26"/>
  <c r="B213" i="27"/>
  <c r="B191" i="27"/>
  <c r="C196" i="27"/>
  <c r="D90" i="26"/>
  <c r="B139" i="27"/>
  <c r="C144" i="27"/>
  <c r="D76" i="26"/>
  <c r="B119" i="27"/>
  <c r="C122" i="27"/>
  <c r="D73" i="26"/>
  <c r="B183" i="27"/>
  <c r="C188" i="27"/>
  <c r="D88" i="26"/>
  <c r="D30" i="26"/>
  <c r="C30" i="26"/>
  <c r="B127" i="27"/>
  <c r="B149" i="27"/>
  <c r="D159" i="26"/>
  <c r="B151" i="27"/>
  <c r="B129" i="27"/>
  <c r="B150" i="27"/>
  <c r="B128" i="27"/>
  <c r="D13" i="21"/>
  <c r="D13" i="19"/>
  <c r="D12" i="17"/>
  <c r="D14" i="13"/>
  <c r="D14" i="11"/>
  <c r="D12" i="9"/>
  <c r="D12" i="6"/>
  <c r="C60" i="21"/>
  <c r="C58" i="21"/>
  <c r="C60" i="19"/>
  <c r="C58" i="19"/>
  <c r="C59" i="17"/>
  <c r="C57" i="17"/>
  <c r="C61" i="13"/>
  <c r="C59" i="13"/>
  <c r="D59" i="13"/>
  <c r="C57" i="13"/>
  <c r="D57" i="13"/>
  <c r="C60" i="11"/>
  <c r="C58" i="11"/>
  <c r="C58" i="9"/>
  <c r="C56" i="9"/>
  <c r="C58" i="6"/>
  <c r="C56" i="6"/>
  <c r="C58" i="2"/>
  <c r="C56" i="2"/>
  <c r="C60" i="2"/>
  <c r="C60" i="6"/>
  <c r="C60" i="9"/>
  <c r="B238" i="31"/>
  <c r="C244" i="31"/>
  <c r="B181" i="31"/>
  <c r="C185" i="31"/>
  <c r="D88" i="30"/>
  <c r="B197" i="31"/>
  <c r="C202" i="31"/>
  <c r="D90" i="30"/>
  <c r="B205" i="31"/>
  <c r="C210" i="31"/>
  <c r="D92" i="30"/>
  <c r="B153" i="31"/>
  <c r="C158" i="31"/>
  <c r="D78" i="30"/>
  <c r="B133" i="31"/>
  <c r="C136" i="31"/>
  <c r="D75" i="30"/>
  <c r="B227" i="31"/>
  <c r="B188" i="31"/>
  <c r="C194" i="31"/>
  <c r="D89" i="30"/>
  <c r="B144" i="31"/>
  <c r="B166" i="31"/>
  <c r="C42" i="29"/>
  <c r="C46" i="29"/>
  <c r="C48" i="29"/>
  <c r="C51" i="29"/>
  <c r="C162" i="26"/>
  <c r="B152" i="27"/>
  <c r="C157" i="27"/>
  <c r="B130" i="27"/>
  <c r="C133" i="27"/>
  <c r="D35" i="30"/>
  <c r="C32" i="30"/>
  <c r="C164" i="30"/>
  <c r="D33" i="26"/>
  <c r="D40" i="26"/>
  <c r="B214" i="27"/>
  <c r="B215" i="27"/>
  <c r="C220" i="27"/>
  <c r="D96" i="26"/>
  <c r="D100" i="26"/>
  <c r="D108" i="26"/>
  <c r="C76" i="26"/>
  <c r="D74" i="26"/>
  <c r="C73" i="26"/>
  <c r="D93" i="26"/>
  <c r="D107" i="26"/>
  <c r="C202" i="27"/>
  <c r="D41" i="26"/>
  <c r="D42" i="26"/>
  <c r="D61" i="13"/>
  <c r="G12" i="25"/>
  <c r="I21" i="25"/>
  <c r="G68" i="1"/>
  <c r="I20" i="25"/>
  <c r="G67" i="1"/>
  <c r="I22" i="25"/>
  <c r="G69" i="1"/>
  <c r="J47" i="24"/>
  <c r="G36" i="24"/>
  <c r="I48" i="24"/>
  <c r="G55" i="1"/>
  <c r="I47" i="24"/>
  <c r="G54" i="1"/>
  <c r="G31" i="24"/>
  <c r="I44" i="24"/>
  <c r="G51" i="1"/>
  <c r="I46" i="24"/>
  <c r="G53" i="1"/>
  <c r="I43" i="24"/>
  <c r="G50" i="1"/>
  <c r="G29" i="24"/>
  <c r="I42" i="24"/>
  <c r="G49" i="1"/>
  <c r="I45" i="24"/>
  <c r="G52" i="1"/>
  <c r="H20" i="24"/>
  <c r="H18" i="24"/>
  <c r="J46" i="24"/>
  <c r="G20" i="23"/>
  <c r="I31" i="23"/>
  <c r="G44" i="1"/>
  <c r="G8" i="25"/>
  <c r="H6" i="25"/>
  <c r="H5" i="25"/>
  <c r="H4" i="25"/>
  <c r="H3" i="25"/>
  <c r="G26" i="24"/>
  <c r="G19" i="23"/>
  <c r="I30" i="23"/>
  <c r="G43" i="1"/>
  <c r="G18" i="23"/>
  <c r="I29" i="23"/>
  <c r="G42" i="1"/>
  <c r="G16" i="23"/>
  <c r="I28" i="23"/>
  <c r="G41" i="1"/>
  <c r="G15" i="23"/>
  <c r="I27" i="23"/>
  <c r="G11" i="23"/>
  <c r="H6" i="23"/>
  <c r="H5" i="23"/>
  <c r="H10" i="23"/>
  <c r="H9" i="23"/>
  <c r="H8" i="23"/>
  <c r="H7" i="23"/>
  <c r="H4" i="23"/>
  <c r="H3" i="23"/>
  <c r="C135" i="27"/>
  <c r="C136" i="27"/>
  <c r="D75" i="26"/>
  <c r="C155" i="27"/>
  <c r="C158" i="27"/>
  <c r="D78" i="26"/>
  <c r="D79" i="26"/>
  <c r="D95" i="30"/>
  <c r="D109" i="30"/>
  <c r="C216" i="31"/>
  <c r="D76" i="30"/>
  <c r="C75" i="30"/>
  <c r="B228" i="31"/>
  <c r="B229" i="31"/>
  <c r="C234" i="31"/>
  <c r="D98" i="30"/>
  <c r="D102" i="30"/>
  <c r="D110" i="30"/>
  <c r="C169" i="31"/>
  <c r="C171" i="31"/>
  <c r="C78" i="30"/>
  <c r="C149" i="31"/>
  <c r="C147" i="31"/>
  <c r="D77" i="30"/>
  <c r="D31" i="28"/>
  <c r="D32" i="28"/>
  <c r="C76" i="28"/>
  <c r="D145" i="28"/>
  <c r="C73" i="28"/>
  <c r="D29" i="28"/>
  <c r="D38" i="26"/>
  <c r="D37" i="26"/>
  <c r="D39" i="26"/>
  <c r="D43" i="26"/>
  <c r="D44" i="26"/>
  <c r="D45" i="26"/>
  <c r="D66" i="26"/>
  <c r="G70" i="1"/>
  <c r="H54" i="1"/>
  <c r="H31" i="24"/>
  <c r="J44" i="24"/>
  <c r="H53" i="1"/>
  <c r="H29" i="24"/>
  <c r="J42" i="24"/>
  <c r="H49" i="1"/>
  <c r="J48" i="24"/>
  <c r="G56" i="1"/>
  <c r="H12" i="25"/>
  <c r="J21" i="25"/>
  <c r="H68" i="1"/>
  <c r="D67" i="30"/>
  <c r="D44" i="30"/>
  <c r="D43" i="30"/>
  <c r="D40" i="30"/>
  <c r="D45" i="30"/>
  <c r="D39" i="30"/>
  <c r="D46" i="30"/>
  <c r="D42" i="30"/>
  <c r="D41" i="30"/>
  <c r="C203" i="27"/>
  <c r="D109" i="26"/>
  <c r="D65" i="26"/>
  <c r="I23" i="25"/>
  <c r="H11" i="25"/>
  <c r="G40" i="1"/>
  <c r="G45" i="1"/>
  <c r="I32" i="23"/>
  <c r="H14" i="23"/>
  <c r="J26" i="23"/>
  <c r="H19" i="23"/>
  <c r="J30" i="23"/>
  <c r="H18" i="23"/>
  <c r="J29" i="23"/>
  <c r="H20" i="23"/>
  <c r="J31" i="23"/>
  <c r="H15" i="23"/>
  <c r="J27" i="23"/>
  <c r="H16" i="23"/>
  <c r="J28" i="23"/>
  <c r="J43" i="24"/>
  <c r="J45" i="24"/>
  <c r="I49" i="24"/>
  <c r="H8" i="25"/>
  <c r="G16" i="25"/>
  <c r="G38" i="24"/>
  <c r="H26" i="24"/>
  <c r="H11" i="23"/>
  <c r="G22" i="23"/>
  <c r="G12" i="7"/>
  <c r="H11" i="7"/>
  <c r="H10" i="7"/>
  <c r="H9" i="7"/>
  <c r="H8" i="7"/>
  <c r="H7" i="7"/>
  <c r="H6" i="7"/>
  <c r="H5" i="7"/>
  <c r="H4" i="7"/>
  <c r="H3" i="7"/>
  <c r="H22" i="23"/>
  <c r="D111" i="30"/>
  <c r="D113" i="30"/>
  <c r="D150" i="30"/>
  <c r="C217" i="31"/>
  <c r="D162" i="30"/>
  <c r="C77" i="30"/>
  <c r="C162" i="30"/>
  <c r="C172" i="31"/>
  <c r="D80" i="30"/>
  <c r="C150" i="31"/>
  <c r="C31" i="28"/>
  <c r="C158" i="28"/>
  <c r="D163" i="28"/>
  <c r="D158" i="28"/>
  <c r="D30" i="28"/>
  <c r="C29" i="28"/>
  <c r="C157" i="28"/>
  <c r="B128" i="29"/>
  <c r="D162" i="28"/>
  <c r="D157" i="28"/>
  <c r="B150" i="29"/>
  <c r="C32" i="28"/>
  <c r="C159" i="28"/>
  <c r="D164" i="28"/>
  <c r="D159" i="28"/>
  <c r="C75" i="26"/>
  <c r="C160" i="26"/>
  <c r="D160" i="26"/>
  <c r="H55" i="1"/>
  <c r="H50" i="1"/>
  <c r="H51" i="1"/>
  <c r="H52" i="1"/>
  <c r="H16" i="25"/>
  <c r="J20" i="25"/>
  <c r="J22" i="25"/>
  <c r="H69" i="1"/>
  <c r="D47" i="30"/>
  <c r="D68" i="30"/>
  <c r="D70" i="30"/>
  <c r="C214" i="31"/>
  <c r="D147" i="26"/>
  <c r="C204" i="27"/>
  <c r="C78" i="26"/>
  <c r="C161" i="26"/>
  <c r="D161" i="26"/>
  <c r="D165" i="26"/>
  <c r="D68" i="26"/>
  <c r="C200" i="27"/>
  <c r="H44" i="1"/>
  <c r="H40" i="1"/>
  <c r="H39" i="1"/>
  <c r="J32" i="23"/>
  <c r="H41" i="1"/>
  <c r="H42" i="1"/>
  <c r="H43" i="1"/>
  <c r="J49" i="24"/>
  <c r="H38" i="24"/>
  <c r="H20" i="7"/>
  <c r="J31" i="7"/>
  <c r="H15" i="7"/>
  <c r="J27" i="7"/>
  <c r="H30" i="1"/>
  <c r="H18" i="7"/>
  <c r="H17" i="7"/>
  <c r="H19" i="7"/>
  <c r="G22" i="7"/>
  <c r="H12" i="7"/>
  <c r="I32" i="7"/>
  <c r="D14" i="21"/>
  <c r="C54" i="22"/>
  <c r="B168" i="22"/>
  <c r="B146" i="22"/>
  <c r="C59" i="22"/>
  <c r="C57" i="22"/>
  <c r="C56" i="22"/>
  <c r="C55" i="22"/>
  <c r="C16" i="22"/>
  <c r="C15" i="22"/>
  <c r="C14" i="22"/>
  <c r="C13" i="22"/>
  <c r="C12" i="22"/>
  <c r="C10" i="22"/>
  <c r="B6" i="22"/>
  <c r="B5" i="22"/>
  <c r="B118" i="22"/>
  <c r="C121" i="22"/>
  <c r="D51" i="21"/>
  <c r="C52" i="21"/>
  <c r="D52" i="21"/>
  <c r="B222" i="22"/>
  <c r="B161" i="22"/>
  <c r="B139" i="22"/>
  <c r="B124" i="22"/>
  <c r="B115" i="22"/>
  <c r="B109" i="22"/>
  <c r="B104" i="22"/>
  <c r="C103" i="22"/>
  <c r="C106" i="22"/>
  <c r="B98" i="22"/>
  <c r="B99" i="22"/>
  <c r="B110" i="22"/>
  <c r="B111" i="22"/>
  <c r="C112" i="22"/>
  <c r="B94" i="22"/>
  <c r="B85" i="22"/>
  <c r="B88" i="22"/>
  <c r="B90" i="22"/>
  <c r="B79" i="22"/>
  <c r="C75" i="22"/>
  <c r="B76" i="22"/>
  <c r="C78" i="22"/>
  <c r="C80" i="22"/>
  <c r="C83" i="22"/>
  <c r="B63" i="22"/>
  <c r="B61" i="22"/>
  <c r="B46" i="22"/>
  <c r="B48" i="22"/>
  <c r="B49" i="22"/>
  <c r="B41" i="22"/>
  <c r="C42" i="22"/>
  <c r="C44" i="22"/>
  <c r="B31" i="22"/>
  <c r="B34" i="22"/>
  <c r="B36" i="22"/>
  <c r="C37" i="22"/>
  <c r="B21" i="22"/>
  <c r="B22" i="22"/>
  <c r="B18" i="22"/>
  <c r="B127" i="22"/>
  <c r="C130" i="22"/>
  <c r="D53" i="21"/>
  <c r="C144" i="21"/>
  <c r="C125" i="21"/>
  <c r="D125" i="21"/>
  <c r="C123" i="21"/>
  <c r="C121" i="21"/>
  <c r="D121" i="21"/>
  <c r="C119" i="21"/>
  <c r="D106" i="21"/>
  <c r="D112" i="21"/>
  <c r="C62" i="21"/>
  <c r="D62" i="21"/>
  <c r="D60" i="21"/>
  <c r="D58" i="21"/>
  <c r="C56" i="21"/>
  <c r="D56" i="21"/>
  <c r="C54" i="21"/>
  <c r="C41" i="21"/>
  <c r="C47" i="21"/>
  <c r="B243" i="22"/>
  <c r="D81" i="30"/>
  <c r="D163" i="30"/>
  <c r="D167" i="30"/>
  <c r="C80" i="30"/>
  <c r="C163" i="30"/>
  <c r="B151" i="29"/>
  <c r="B152" i="29"/>
  <c r="B129" i="29"/>
  <c r="B130" i="29"/>
  <c r="D33" i="28"/>
  <c r="C30" i="28"/>
  <c r="C162" i="28"/>
  <c r="H56" i="1"/>
  <c r="H67" i="1"/>
  <c r="J23" i="25"/>
  <c r="D148" i="30"/>
  <c r="D146" i="26"/>
  <c r="H34" i="1"/>
  <c r="H45" i="1"/>
  <c r="J28" i="7"/>
  <c r="J30" i="7"/>
  <c r="J29" i="7"/>
  <c r="D54" i="21"/>
  <c r="D63" i="21"/>
  <c r="D69" i="21"/>
  <c r="C11" i="22"/>
  <c r="C17" i="22"/>
  <c r="C19" i="22"/>
  <c r="C22" i="22"/>
  <c r="C23" i="22"/>
  <c r="C24" i="22"/>
  <c r="C26" i="22"/>
  <c r="H22" i="7"/>
  <c r="C91" i="22"/>
  <c r="C50" i="22"/>
  <c r="B21" i="20"/>
  <c r="D156" i="3"/>
  <c r="F156" i="3"/>
  <c r="C218" i="31"/>
  <c r="D149" i="30"/>
  <c r="C157" i="29"/>
  <c r="C155" i="29"/>
  <c r="C158" i="29"/>
  <c r="D78" i="28"/>
  <c r="C135" i="29"/>
  <c r="C133" i="29"/>
  <c r="D43" i="28"/>
  <c r="D40" i="28"/>
  <c r="D42" i="28"/>
  <c r="D44" i="28"/>
  <c r="D37" i="28"/>
  <c r="D65" i="28"/>
  <c r="D41" i="28"/>
  <c r="D39" i="28"/>
  <c r="D38" i="28"/>
  <c r="H70" i="1"/>
  <c r="H31" i="1"/>
  <c r="H33" i="1"/>
  <c r="H32" i="1"/>
  <c r="J32" i="7"/>
  <c r="D25" i="21"/>
  <c r="C58" i="22"/>
  <c r="C60" i="22"/>
  <c r="C62" i="22"/>
  <c r="C65" i="22"/>
  <c r="B168" i="20"/>
  <c r="B146" i="20"/>
  <c r="C103" i="20"/>
  <c r="B104" i="20"/>
  <c r="C106" i="20"/>
  <c r="C59" i="20"/>
  <c r="C57" i="20"/>
  <c r="C56" i="20"/>
  <c r="C55" i="20"/>
  <c r="C16" i="20"/>
  <c r="C15" i="20"/>
  <c r="C14" i="20"/>
  <c r="C13" i="20"/>
  <c r="C12" i="20"/>
  <c r="C10" i="20"/>
  <c r="B6" i="20"/>
  <c r="B41" i="20"/>
  <c r="C42" i="20"/>
  <c r="C44" i="20"/>
  <c r="B161" i="20"/>
  <c r="B139" i="20"/>
  <c r="B124" i="20"/>
  <c r="B5" i="20"/>
  <c r="B118" i="20"/>
  <c r="B115" i="20"/>
  <c r="B109" i="20"/>
  <c r="B98" i="20"/>
  <c r="B99" i="20"/>
  <c r="B94" i="20"/>
  <c r="B85" i="20"/>
  <c r="B88" i="20"/>
  <c r="B90" i="20"/>
  <c r="B79" i="20"/>
  <c r="B76" i="20"/>
  <c r="C75" i="20"/>
  <c r="C78" i="20"/>
  <c r="B63" i="20"/>
  <c r="B61" i="20"/>
  <c r="B31" i="20"/>
  <c r="B34" i="20"/>
  <c r="B36" i="20"/>
  <c r="B22" i="20"/>
  <c r="B18" i="20"/>
  <c r="B127" i="20"/>
  <c r="C130" i="20"/>
  <c r="D53" i="19"/>
  <c r="B110" i="20"/>
  <c r="B111" i="20"/>
  <c r="C112" i="20"/>
  <c r="D45" i="28"/>
  <c r="D66" i="28"/>
  <c r="C200" i="29"/>
  <c r="C205" i="29"/>
  <c r="C207" i="29"/>
  <c r="C209" i="29"/>
  <c r="D103" i="28"/>
  <c r="D104" i="28"/>
  <c r="D110" i="28"/>
  <c r="D111" i="28"/>
  <c r="D148" i="28"/>
  <c r="C136" i="29"/>
  <c r="D75" i="28"/>
  <c r="D161" i="28"/>
  <c r="C78" i="28"/>
  <c r="C161" i="28"/>
  <c r="C80" i="20"/>
  <c r="C83" i="20"/>
  <c r="C91" i="20"/>
  <c r="H35" i="1"/>
  <c r="C121" i="20"/>
  <c r="D51" i="19"/>
  <c r="B162" i="22"/>
  <c r="B236" i="22"/>
  <c r="B140" i="22"/>
  <c r="C213" i="22"/>
  <c r="B7" i="22"/>
  <c r="D147" i="21"/>
  <c r="D31" i="21"/>
  <c r="D33" i="21"/>
  <c r="D34" i="21"/>
  <c r="C37" i="20"/>
  <c r="B46" i="20"/>
  <c r="B48" i="20"/>
  <c r="B49" i="20"/>
  <c r="C50" i="20"/>
  <c r="B222" i="20"/>
  <c r="B110" i="4"/>
  <c r="B113" i="4"/>
  <c r="C116" i="4"/>
  <c r="D68" i="28"/>
  <c r="D146" i="28"/>
  <c r="D160" i="28"/>
  <c r="D165" i="28"/>
  <c r="D79" i="28"/>
  <c r="C75" i="28"/>
  <c r="C160" i="28"/>
  <c r="B197" i="22"/>
  <c r="C202" i="22"/>
  <c r="D90" i="21"/>
  <c r="B153" i="22"/>
  <c r="C158" i="22"/>
  <c r="D78" i="21"/>
  <c r="B227" i="22"/>
  <c r="B188" i="22"/>
  <c r="C194" i="22"/>
  <c r="D89" i="21"/>
  <c r="B133" i="22"/>
  <c r="C136" i="22"/>
  <c r="D75" i="21"/>
  <c r="B205" i="22"/>
  <c r="C210" i="22"/>
  <c r="D92" i="21"/>
  <c r="B181" i="22"/>
  <c r="C185" i="22"/>
  <c r="D88" i="21"/>
  <c r="B163" i="22"/>
  <c r="B237" i="22"/>
  <c r="B238" i="22"/>
  <c r="C244" i="22"/>
  <c r="B141" i="22"/>
  <c r="C31" i="21"/>
  <c r="C159" i="21"/>
  <c r="D164" i="21"/>
  <c r="D159" i="21"/>
  <c r="B143" i="22"/>
  <c r="B165" i="22"/>
  <c r="D161" i="21"/>
  <c r="D166" i="21"/>
  <c r="C34" i="21"/>
  <c r="C161" i="21"/>
  <c r="B164" i="22"/>
  <c r="B142" i="22"/>
  <c r="D160" i="21"/>
  <c r="C33" i="21"/>
  <c r="C160" i="21"/>
  <c r="D165" i="21"/>
  <c r="D32" i="21"/>
  <c r="C15" i="18"/>
  <c r="D147" i="28"/>
  <c r="B144" i="22"/>
  <c r="C147" i="22"/>
  <c r="D77" i="21"/>
  <c r="B166" i="22"/>
  <c r="C169" i="22"/>
  <c r="B228" i="22"/>
  <c r="B229" i="22"/>
  <c r="C234" i="22"/>
  <c r="D98" i="21"/>
  <c r="D102" i="21"/>
  <c r="D110" i="21"/>
  <c r="C78" i="21"/>
  <c r="D95" i="21"/>
  <c r="D109" i="21"/>
  <c r="C216" i="22"/>
  <c r="D35" i="21"/>
  <c r="C32" i="21"/>
  <c r="D76" i="21"/>
  <c r="C75" i="21"/>
  <c r="C164" i="21"/>
  <c r="C144" i="19"/>
  <c r="C125" i="19"/>
  <c r="D125" i="19"/>
  <c r="C123" i="19"/>
  <c r="C121" i="19"/>
  <c r="D121" i="19"/>
  <c r="C119" i="19"/>
  <c r="C62" i="19"/>
  <c r="D62" i="19"/>
  <c r="D60" i="19"/>
  <c r="D58" i="19"/>
  <c r="C56" i="19"/>
  <c r="D56" i="19"/>
  <c r="C54" i="19"/>
  <c r="D54" i="19"/>
  <c r="C52" i="19"/>
  <c r="D52" i="19"/>
  <c r="C41" i="19"/>
  <c r="C47" i="19"/>
  <c r="B243" i="20"/>
  <c r="D14" i="19"/>
  <c r="E171" i="3"/>
  <c r="E170" i="3"/>
  <c r="E169" i="3"/>
  <c r="F172" i="3"/>
  <c r="F164" i="3"/>
  <c r="F163" i="3"/>
  <c r="F162" i="3"/>
  <c r="F161" i="3"/>
  <c r="F160" i="3"/>
  <c r="F159" i="3"/>
  <c r="D158" i="3"/>
  <c r="F158" i="3"/>
  <c r="D157" i="3"/>
  <c r="F157" i="3"/>
  <c r="B168" i="18"/>
  <c r="B146" i="18"/>
  <c r="C102" i="18"/>
  <c r="C100" i="18"/>
  <c r="C74" i="18"/>
  <c r="C72" i="18"/>
  <c r="C59" i="18"/>
  <c r="C57" i="18"/>
  <c r="C56" i="18"/>
  <c r="C55" i="18"/>
  <c r="C53" i="18"/>
  <c r="C14" i="18"/>
  <c r="C13" i="18"/>
  <c r="C12" i="18"/>
  <c r="C10" i="18"/>
  <c r="B6" i="18"/>
  <c r="C40" i="18"/>
  <c r="B41" i="18"/>
  <c r="C42" i="18"/>
  <c r="C44" i="18"/>
  <c r="B5" i="18"/>
  <c r="B222" i="18"/>
  <c r="B161" i="18"/>
  <c r="B139" i="18"/>
  <c r="B124" i="18"/>
  <c r="B118" i="18"/>
  <c r="B115" i="18"/>
  <c r="B109" i="18"/>
  <c r="B104" i="18"/>
  <c r="B98" i="18"/>
  <c r="B99" i="18"/>
  <c r="B110" i="18"/>
  <c r="B111" i="18"/>
  <c r="B94" i="18"/>
  <c r="B85" i="18"/>
  <c r="B88" i="18"/>
  <c r="B90" i="18"/>
  <c r="B79" i="18"/>
  <c r="B76" i="18"/>
  <c r="B63" i="18"/>
  <c r="B61" i="18"/>
  <c r="B46" i="18"/>
  <c r="B48" i="18"/>
  <c r="B49" i="18"/>
  <c r="B31" i="18"/>
  <c r="B34" i="18"/>
  <c r="B36" i="18"/>
  <c r="B22" i="18"/>
  <c r="B18" i="18"/>
  <c r="B127" i="18"/>
  <c r="C130" i="18"/>
  <c r="D52" i="17"/>
  <c r="C143" i="17"/>
  <c r="C124" i="17"/>
  <c r="D124" i="17"/>
  <c r="C122" i="17"/>
  <c r="C120" i="17"/>
  <c r="D120" i="17"/>
  <c r="C118" i="17"/>
  <c r="C61" i="17"/>
  <c r="D61" i="17"/>
  <c r="D57" i="17"/>
  <c r="C55" i="17"/>
  <c r="D55" i="17"/>
  <c r="C53" i="17"/>
  <c r="C51" i="17"/>
  <c r="C40" i="17"/>
  <c r="C46" i="17"/>
  <c r="B243" i="18"/>
  <c r="D122" i="30"/>
  <c r="D123" i="30"/>
  <c r="D122" i="21"/>
  <c r="D123" i="21"/>
  <c r="D121" i="17"/>
  <c r="D122" i="17"/>
  <c r="C149" i="22"/>
  <c r="C150" i="22"/>
  <c r="D53" i="17"/>
  <c r="C171" i="22"/>
  <c r="C172" i="22"/>
  <c r="C217" i="22"/>
  <c r="D111" i="21"/>
  <c r="D113" i="21"/>
  <c r="D150" i="21"/>
  <c r="D42" i="21"/>
  <c r="D41" i="21"/>
  <c r="D45" i="21"/>
  <c r="D39" i="21"/>
  <c r="D46" i="21"/>
  <c r="D67" i="21"/>
  <c r="D40" i="21"/>
  <c r="D43" i="21"/>
  <c r="D44" i="21"/>
  <c r="D162" i="21"/>
  <c r="C77" i="21"/>
  <c r="C162" i="21"/>
  <c r="C50" i="18"/>
  <c r="D22" i="17"/>
  <c r="D13" i="17"/>
  <c r="C54" i="20"/>
  <c r="C11" i="20"/>
  <c r="C17" i="20"/>
  <c r="C19" i="20"/>
  <c r="D63" i="19"/>
  <c r="D69" i="19"/>
  <c r="G165" i="3"/>
  <c r="D59" i="17"/>
  <c r="C121" i="18"/>
  <c r="D50" i="17"/>
  <c r="D51" i="17"/>
  <c r="D117" i="17"/>
  <c r="C215" i="18"/>
  <c r="D118" i="30"/>
  <c r="D118" i="21"/>
  <c r="D80" i="21"/>
  <c r="D81" i="21"/>
  <c r="D149" i="21"/>
  <c r="C22" i="20"/>
  <c r="C23" i="20"/>
  <c r="C24" i="20"/>
  <c r="C26" i="20"/>
  <c r="C58" i="20"/>
  <c r="C60" i="20"/>
  <c r="C62" i="20"/>
  <c r="C65" i="20"/>
  <c r="D62" i="17"/>
  <c r="D68" i="17"/>
  <c r="D47" i="21"/>
  <c r="D68" i="21"/>
  <c r="D70" i="21"/>
  <c r="C16" i="18"/>
  <c r="B174" i="3"/>
  <c r="C73" i="18"/>
  <c r="C75" i="18"/>
  <c r="C78" i="18"/>
  <c r="C80" i="18"/>
  <c r="C83" i="18"/>
  <c r="C91" i="18"/>
  <c r="C54" i="18"/>
  <c r="C101" i="18"/>
  <c r="C103" i="18"/>
  <c r="C106" i="18"/>
  <c r="C112" i="18"/>
  <c r="C11" i="18"/>
  <c r="B5" i="14"/>
  <c r="B222" i="14"/>
  <c r="D118" i="17"/>
  <c r="D125" i="17"/>
  <c r="D150" i="17"/>
  <c r="C215" i="31"/>
  <c r="C219" i="31"/>
  <c r="C221" i="31"/>
  <c r="C223" i="31"/>
  <c r="D119" i="30"/>
  <c r="D126" i="30"/>
  <c r="D119" i="21"/>
  <c r="D126" i="21"/>
  <c r="C215" i="22"/>
  <c r="C218" i="22"/>
  <c r="D163" i="21"/>
  <c r="D167" i="21"/>
  <c r="C80" i="21"/>
  <c r="C163" i="21"/>
  <c r="C214" i="22"/>
  <c r="D148" i="21"/>
  <c r="C17" i="18"/>
  <c r="C19" i="18"/>
  <c r="C22" i="18"/>
  <c r="C23" i="18"/>
  <c r="C24" i="18"/>
  <c r="C26" i="18"/>
  <c r="C58" i="18"/>
  <c r="C60" i="18"/>
  <c r="C62" i="18"/>
  <c r="C65" i="18"/>
  <c r="B168" i="14"/>
  <c r="B161" i="14"/>
  <c r="D151" i="21"/>
  <c r="D152" i="21"/>
  <c r="D131" i="21"/>
  <c r="D132" i="21"/>
  <c r="D133" i="21"/>
  <c r="D134" i="21"/>
  <c r="D137" i="21"/>
  <c r="D151" i="30"/>
  <c r="D152" i="30"/>
  <c r="D131" i="30"/>
  <c r="D132" i="30"/>
  <c r="D133" i="30"/>
  <c r="D134" i="30"/>
  <c r="C219" i="22"/>
  <c r="C221" i="22"/>
  <c r="C223" i="22"/>
  <c r="C29" i="18"/>
  <c r="C37" i="18"/>
  <c r="D24" i="17"/>
  <c r="D32" i="17"/>
  <c r="D164" i="17"/>
  <c r="B146" i="14"/>
  <c r="B139" i="14"/>
  <c r="B127" i="14"/>
  <c r="C130" i="14"/>
  <c r="B124" i="14"/>
  <c r="B115" i="14"/>
  <c r="B109" i="14"/>
  <c r="B104" i="14"/>
  <c r="C102" i="14"/>
  <c r="C100" i="14"/>
  <c r="B98" i="14"/>
  <c r="B99" i="14"/>
  <c r="B94" i="14"/>
  <c r="B85" i="14"/>
  <c r="B88" i="14"/>
  <c r="B90" i="14"/>
  <c r="B79" i="14"/>
  <c r="B76" i="14"/>
  <c r="C74" i="14"/>
  <c r="C72" i="14"/>
  <c r="B63" i="14"/>
  <c r="B61" i="14"/>
  <c r="C59" i="14"/>
  <c r="C57" i="14"/>
  <c r="C56" i="14"/>
  <c r="C55" i="14"/>
  <c r="C53" i="14"/>
  <c r="B46" i="14"/>
  <c r="B48" i="14"/>
  <c r="B49" i="14"/>
  <c r="B41" i="14"/>
  <c r="B110" i="14"/>
  <c r="B111" i="14"/>
  <c r="D142" i="21"/>
  <c r="D138" i="21"/>
  <c r="D144" i="21"/>
  <c r="D153" i="21"/>
  <c r="D155" i="21"/>
  <c r="D142" i="30"/>
  <c r="D138" i="30"/>
  <c r="D137" i="30"/>
  <c r="D33" i="17"/>
  <c r="D31" i="17"/>
  <c r="D30" i="17"/>
  <c r="D34" i="17"/>
  <c r="B237" i="18"/>
  <c r="B162" i="18"/>
  <c r="B236" i="18"/>
  <c r="B140" i="18"/>
  <c r="D146" i="17"/>
  <c r="B7" i="18"/>
  <c r="B133" i="18"/>
  <c r="C136" i="18"/>
  <c r="D74" i="17"/>
  <c r="C213" i="18"/>
  <c r="D159" i="17"/>
  <c r="B164" i="18"/>
  <c r="B142" i="18"/>
  <c r="B197" i="18"/>
  <c r="C202" i="18"/>
  <c r="D89" i="17"/>
  <c r="B153" i="18"/>
  <c r="C158" i="18"/>
  <c r="D77" i="17"/>
  <c r="B188" i="18"/>
  <c r="C194" i="18"/>
  <c r="D88" i="17"/>
  <c r="C32" i="17"/>
  <c r="C159" i="17"/>
  <c r="B31" i="14"/>
  <c r="B34" i="14"/>
  <c r="B36" i="14"/>
  <c r="B22" i="14"/>
  <c r="B18" i="14"/>
  <c r="C15" i="14"/>
  <c r="C14" i="14"/>
  <c r="C13" i="14"/>
  <c r="C12" i="14"/>
  <c r="C10" i="14"/>
  <c r="B6" i="14"/>
  <c r="C40" i="14"/>
  <c r="C42" i="14"/>
  <c r="C44" i="14"/>
  <c r="C50" i="14"/>
  <c r="D144" i="30"/>
  <c r="D153" i="30"/>
  <c r="D155" i="30"/>
  <c r="L22" i="25"/>
  <c r="B227" i="18"/>
  <c r="B228" i="18"/>
  <c r="B229" i="18"/>
  <c r="C234" i="18"/>
  <c r="D97" i="17"/>
  <c r="D101" i="17"/>
  <c r="D109" i="17"/>
  <c r="B205" i="18"/>
  <c r="C210" i="18"/>
  <c r="D91" i="17"/>
  <c r="B238" i="18"/>
  <c r="C244" i="18"/>
  <c r="J5" i="24"/>
  <c r="J7" i="23"/>
  <c r="J17" i="24"/>
  <c r="J34" i="1"/>
  <c r="L31" i="7"/>
  <c r="L31" i="23"/>
  <c r="J23" i="24"/>
  <c r="J5" i="7"/>
  <c r="L48" i="24"/>
  <c r="J55" i="1"/>
  <c r="J44" i="1"/>
  <c r="B181" i="18"/>
  <c r="C185" i="18"/>
  <c r="D87" i="17"/>
  <c r="D165" i="17"/>
  <c r="B141" i="18"/>
  <c r="C33" i="17"/>
  <c r="C160" i="17"/>
  <c r="D158" i="17"/>
  <c r="B165" i="18"/>
  <c r="C30" i="17"/>
  <c r="C158" i="17"/>
  <c r="C31" i="17"/>
  <c r="B163" i="18"/>
  <c r="D163" i="17"/>
  <c r="B143" i="18"/>
  <c r="D160" i="17"/>
  <c r="C77" i="17"/>
  <c r="D75" i="17"/>
  <c r="C74" i="17"/>
  <c r="D44" i="17"/>
  <c r="D39" i="17"/>
  <c r="D40" i="17"/>
  <c r="D42" i="17"/>
  <c r="D41" i="17"/>
  <c r="D43" i="17"/>
  <c r="D66" i="17"/>
  <c r="D38" i="17"/>
  <c r="D45" i="17"/>
  <c r="B118" i="14"/>
  <c r="C121" i="14"/>
  <c r="C145" i="13"/>
  <c r="D94" i="17"/>
  <c r="D108" i="17"/>
  <c r="C216" i="18"/>
  <c r="J69" i="1"/>
  <c r="I69" i="1"/>
  <c r="J7" i="25"/>
  <c r="I7" i="25"/>
  <c r="K22" i="25"/>
  <c r="M22" i="25"/>
  <c r="N22" i="25"/>
  <c r="K48" i="24"/>
  <c r="M48" i="24"/>
  <c r="N48" i="24"/>
  <c r="I44" i="1"/>
  <c r="K44" i="1"/>
  <c r="L44" i="1"/>
  <c r="K31" i="23"/>
  <c r="M31" i="23"/>
  <c r="N31" i="23"/>
  <c r="I7" i="23"/>
  <c r="K7" i="23"/>
  <c r="L7" i="23"/>
  <c r="I23" i="24"/>
  <c r="K23" i="24"/>
  <c r="L23" i="24"/>
  <c r="I5" i="24"/>
  <c r="K5" i="24"/>
  <c r="L5" i="24"/>
  <c r="I55" i="1"/>
  <c r="K55" i="1"/>
  <c r="L55" i="1"/>
  <c r="I17" i="24"/>
  <c r="K17" i="24"/>
  <c r="L17" i="24"/>
  <c r="I34" i="1"/>
  <c r="K34" i="1"/>
  <c r="L34" i="1"/>
  <c r="K31" i="7"/>
  <c r="M31" i="7"/>
  <c r="N31" i="7"/>
  <c r="I5" i="7"/>
  <c r="K5" i="7"/>
  <c r="L5" i="7"/>
  <c r="C163" i="17"/>
  <c r="D52" i="13"/>
  <c r="B166" i="18"/>
  <c r="C171" i="18"/>
  <c r="B144" i="18"/>
  <c r="C149" i="18"/>
  <c r="C217" i="18"/>
  <c r="D46" i="17"/>
  <c r="D67" i="17"/>
  <c r="D69" i="17"/>
  <c r="C126" i="13"/>
  <c r="D126" i="13"/>
  <c r="C124" i="13"/>
  <c r="C122" i="13"/>
  <c r="C120" i="13"/>
  <c r="C63" i="13"/>
  <c r="D63" i="13"/>
  <c r="C55" i="13"/>
  <c r="D54" i="13"/>
  <c r="C53" i="13"/>
  <c r="C42" i="13"/>
  <c r="C48" i="13"/>
  <c r="B243" i="14"/>
  <c r="D24" i="13"/>
  <c r="C16" i="14"/>
  <c r="E145" i="3"/>
  <c r="E144" i="3"/>
  <c r="E143" i="3"/>
  <c r="E142" i="3"/>
  <c r="E141" i="3"/>
  <c r="E140" i="3"/>
  <c r="E139" i="3"/>
  <c r="E135" i="3"/>
  <c r="E136" i="3"/>
  <c r="E137" i="3"/>
  <c r="E138" i="3"/>
  <c r="F146" i="3"/>
  <c r="F130" i="3"/>
  <c r="F129" i="3"/>
  <c r="F128" i="3"/>
  <c r="F127" i="3"/>
  <c r="F126" i="3"/>
  <c r="F125" i="3"/>
  <c r="D124" i="3"/>
  <c r="F124" i="3"/>
  <c r="D123" i="3"/>
  <c r="D122" i="3"/>
  <c r="E110" i="3"/>
  <c r="E111" i="3"/>
  <c r="E112" i="3"/>
  <c r="E113" i="3"/>
  <c r="F114" i="3"/>
  <c r="D120" i="28"/>
  <c r="D121" i="28"/>
  <c r="F105" i="3"/>
  <c r="F104" i="3"/>
  <c r="F103" i="3"/>
  <c r="F102" i="3"/>
  <c r="F101" i="3"/>
  <c r="F100" i="3"/>
  <c r="F99" i="3"/>
  <c r="C99" i="3"/>
  <c r="F98" i="3"/>
  <c r="C98" i="3"/>
  <c r="F97" i="3"/>
  <c r="G106" i="3"/>
  <c r="D116" i="28"/>
  <c r="C97" i="3"/>
  <c r="E86" i="3"/>
  <c r="E87" i="3"/>
  <c r="E88" i="3"/>
  <c r="F89" i="3"/>
  <c r="F81" i="3"/>
  <c r="F80" i="3"/>
  <c r="F79" i="3"/>
  <c r="F78" i="3"/>
  <c r="F77" i="3"/>
  <c r="F76" i="3"/>
  <c r="D75" i="3"/>
  <c r="F75" i="3"/>
  <c r="D74" i="3"/>
  <c r="F74" i="3"/>
  <c r="D73" i="3"/>
  <c r="F73" i="3"/>
  <c r="G82" i="3"/>
  <c r="E51" i="3"/>
  <c r="E52" i="3"/>
  <c r="E53" i="3"/>
  <c r="E54" i="3"/>
  <c r="E55" i="3"/>
  <c r="E56" i="3"/>
  <c r="E57" i="3"/>
  <c r="E58" i="3"/>
  <c r="E59" i="3"/>
  <c r="E60" i="3"/>
  <c r="E61" i="3"/>
  <c r="E62" i="3"/>
  <c r="F63" i="3"/>
  <c r="F46" i="3"/>
  <c r="F45" i="3"/>
  <c r="F44" i="3"/>
  <c r="F43" i="3"/>
  <c r="F42" i="3"/>
  <c r="F41" i="3"/>
  <c r="F40" i="3"/>
  <c r="C40" i="3"/>
  <c r="F39" i="3"/>
  <c r="C39" i="3"/>
  <c r="F38" i="3"/>
  <c r="G47" i="3"/>
  <c r="C38" i="3"/>
  <c r="E26" i="3"/>
  <c r="E25" i="3"/>
  <c r="E24" i="3"/>
  <c r="E23" i="3"/>
  <c r="E22" i="3"/>
  <c r="E21" i="3"/>
  <c r="E20" i="3"/>
  <c r="E16" i="3"/>
  <c r="E17" i="3"/>
  <c r="E18" i="3"/>
  <c r="E19" i="3"/>
  <c r="F27" i="3"/>
  <c r="D120" i="26"/>
  <c r="D121" i="26"/>
  <c r="D110" i="17"/>
  <c r="K69" i="1"/>
  <c r="L69" i="1"/>
  <c r="K7" i="25"/>
  <c r="L7" i="25"/>
  <c r="D122" i="19"/>
  <c r="D123" i="19"/>
  <c r="D123" i="13"/>
  <c r="D124" i="13"/>
  <c r="D117" i="28"/>
  <c r="D124" i="28"/>
  <c r="B116" i="3"/>
  <c r="B91" i="3"/>
  <c r="B65" i="3"/>
  <c r="D53" i="13"/>
  <c r="D55" i="13"/>
  <c r="D64" i="13"/>
  <c r="D70" i="13"/>
  <c r="C169" i="18"/>
  <c r="C172" i="18"/>
  <c r="D79" i="17"/>
  <c r="C79" i="17"/>
  <c r="C162" i="17"/>
  <c r="C147" i="18"/>
  <c r="C150" i="18"/>
  <c r="D76" i="17"/>
  <c r="C214" i="18"/>
  <c r="D122" i="13"/>
  <c r="F123" i="3"/>
  <c r="F122" i="3"/>
  <c r="D147" i="17"/>
  <c r="D15" i="13"/>
  <c r="C54" i="14"/>
  <c r="F11" i="3"/>
  <c r="F10" i="3"/>
  <c r="F9" i="3"/>
  <c r="F8" i="3"/>
  <c r="F7" i="3"/>
  <c r="F6" i="3"/>
  <c r="D5" i="3"/>
  <c r="F5" i="3"/>
  <c r="D4" i="3"/>
  <c r="F4" i="3"/>
  <c r="D3" i="3"/>
  <c r="F3" i="3"/>
  <c r="B208" i="12"/>
  <c r="B154" i="12"/>
  <c r="B147" i="12"/>
  <c r="B132" i="12"/>
  <c r="B125" i="12"/>
  <c r="B110" i="12"/>
  <c r="B113" i="12"/>
  <c r="C116" i="12"/>
  <c r="B101" i="12"/>
  <c r="B104" i="12"/>
  <c r="B95" i="12"/>
  <c r="B90" i="12"/>
  <c r="D149" i="28"/>
  <c r="D150" i="28"/>
  <c r="D129" i="28"/>
  <c r="D130" i="28"/>
  <c r="D131" i="28"/>
  <c r="D132" i="28"/>
  <c r="G12" i="3"/>
  <c r="D162" i="17"/>
  <c r="D80" i="17"/>
  <c r="C218" i="18"/>
  <c r="C219" i="18"/>
  <c r="C221" i="18"/>
  <c r="C223" i="18"/>
  <c r="D105" i="17"/>
  <c r="D111" i="17"/>
  <c r="D112" i="17"/>
  <c r="D161" i="17"/>
  <c r="C76" i="17"/>
  <c r="C161" i="17"/>
  <c r="G131" i="3"/>
  <c r="C101" i="14"/>
  <c r="C103" i="14"/>
  <c r="C106" i="14"/>
  <c r="C112" i="14"/>
  <c r="C73" i="14"/>
  <c r="C75" i="14"/>
  <c r="C78" i="14"/>
  <c r="C80" i="14"/>
  <c r="C83" i="14"/>
  <c r="C91" i="14"/>
  <c r="C11" i="14"/>
  <c r="C17" i="14"/>
  <c r="C19" i="14"/>
  <c r="C29" i="14"/>
  <c r="C37" i="14"/>
  <c r="C88" i="12"/>
  <c r="C86" i="12"/>
  <c r="B84" i="12"/>
  <c r="B85" i="12"/>
  <c r="B80" i="12"/>
  <c r="B71" i="12"/>
  <c r="B74" i="12"/>
  <c r="B76" i="12"/>
  <c r="B65" i="12"/>
  <c r="B62" i="12"/>
  <c r="C60" i="12"/>
  <c r="C58" i="12"/>
  <c r="B49" i="12"/>
  <c r="B47" i="12"/>
  <c r="C45" i="12"/>
  <c r="C41" i="12"/>
  <c r="C39" i="12"/>
  <c r="B30" i="12"/>
  <c r="B33" i="12"/>
  <c r="B35" i="12"/>
  <c r="B21" i="12"/>
  <c r="B17" i="12"/>
  <c r="C15" i="12"/>
  <c r="C12" i="12"/>
  <c r="C10" i="12"/>
  <c r="B6" i="12"/>
  <c r="C107" i="12"/>
  <c r="D51" i="11"/>
  <c r="B5" i="12"/>
  <c r="C144" i="11"/>
  <c r="C125" i="11"/>
  <c r="D125" i="11"/>
  <c r="C123" i="11"/>
  <c r="D122" i="11"/>
  <c r="C121" i="11"/>
  <c r="D121" i="11"/>
  <c r="C119" i="11"/>
  <c r="D118" i="11"/>
  <c r="C201" i="12"/>
  <c r="C62" i="11"/>
  <c r="D62" i="11"/>
  <c r="D58" i="11"/>
  <c r="C56" i="11"/>
  <c r="D56" i="11"/>
  <c r="C54" i="11"/>
  <c r="D53" i="11"/>
  <c r="C52" i="11"/>
  <c r="C41" i="11"/>
  <c r="C47" i="11"/>
  <c r="B229" i="12"/>
  <c r="D15" i="11"/>
  <c r="C40" i="12"/>
  <c r="B208" i="10"/>
  <c r="D119" i="11"/>
  <c r="D119" i="13"/>
  <c r="C215" i="14"/>
  <c r="D118" i="19"/>
  <c r="D135" i="28"/>
  <c r="D136" i="28"/>
  <c r="D140" i="28"/>
  <c r="D116" i="26"/>
  <c r="B29" i="3"/>
  <c r="D123" i="11"/>
  <c r="C87" i="12"/>
  <c r="C89" i="12"/>
  <c r="C92" i="12"/>
  <c r="C11" i="12"/>
  <c r="C59" i="12"/>
  <c r="C61" i="12"/>
  <c r="C64" i="12"/>
  <c r="C66" i="12"/>
  <c r="D166" i="17"/>
  <c r="D148" i="17"/>
  <c r="D52" i="11"/>
  <c r="D60" i="11"/>
  <c r="B148" i="3"/>
  <c r="D120" i="13"/>
  <c r="D127" i="13"/>
  <c r="D152" i="13"/>
  <c r="D149" i="17"/>
  <c r="D130" i="17"/>
  <c r="D131" i="17"/>
  <c r="D132" i="17"/>
  <c r="D133" i="17"/>
  <c r="D54" i="11"/>
  <c r="C22" i="14"/>
  <c r="C23" i="14"/>
  <c r="C24" i="14"/>
  <c r="C26" i="14"/>
  <c r="D26" i="13"/>
  <c r="B154" i="10"/>
  <c r="D142" i="28"/>
  <c r="D151" i="28"/>
  <c r="D153" i="28"/>
  <c r="J68" i="1"/>
  <c r="C215" i="20"/>
  <c r="D119" i="19"/>
  <c r="D126" i="19"/>
  <c r="D151" i="19"/>
  <c r="C201" i="27"/>
  <c r="C205" i="27"/>
  <c r="C207" i="27"/>
  <c r="C209" i="27"/>
  <c r="D103" i="26"/>
  <c r="D104" i="26"/>
  <c r="D110" i="26"/>
  <c r="D111" i="26"/>
  <c r="D148" i="26"/>
  <c r="D117" i="26"/>
  <c r="D124" i="26"/>
  <c r="D151" i="17"/>
  <c r="D63" i="11"/>
  <c r="D69" i="11"/>
  <c r="D137" i="17"/>
  <c r="D141" i="17"/>
  <c r="D136" i="17"/>
  <c r="D17" i="11"/>
  <c r="C69" i="12"/>
  <c r="C77" i="12"/>
  <c r="C58" i="14"/>
  <c r="C60" i="14"/>
  <c r="C62" i="14"/>
  <c r="C65" i="14"/>
  <c r="B236" i="14"/>
  <c r="C213" i="14"/>
  <c r="B162" i="14"/>
  <c r="B140" i="14"/>
  <c r="B7" i="14"/>
  <c r="D148" i="13"/>
  <c r="D32" i="13"/>
  <c r="D35" i="13"/>
  <c r="D34" i="13"/>
  <c r="B147" i="10"/>
  <c r="B132" i="10"/>
  <c r="B125" i="10"/>
  <c r="B110" i="10"/>
  <c r="B113" i="10"/>
  <c r="C116" i="10"/>
  <c r="B101" i="10"/>
  <c r="B104" i="10"/>
  <c r="B95" i="10"/>
  <c r="B90" i="10"/>
  <c r="C88" i="10"/>
  <c r="C86" i="10"/>
  <c r="B84" i="10"/>
  <c r="B85" i="10"/>
  <c r="B80" i="10"/>
  <c r="B71" i="10"/>
  <c r="B74" i="10"/>
  <c r="B76" i="10"/>
  <c r="B65" i="10"/>
  <c r="B62" i="10"/>
  <c r="C60" i="10"/>
  <c r="C58" i="10"/>
  <c r="B49" i="10"/>
  <c r="B47" i="10"/>
  <c r="C45" i="10"/>
  <c r="C43" i="10"/>
  <c r="C42" i="10"/>
  <c r="C41" i="10"/>
  <c r="C39" i="10"/>
  <c r="J6" i="25"/>
  <c r="K6" i="25"/>
  <c r="L6" i="25"/>
  <c r="L21" i="25"/>
  <c r="K21" i="25"/>
  <c r="J4" i="25"/>
  <c r="I4" i="25"/>
  <c r="I68" i="1"/>
  <c r="K68" i="1"/>
  <c r="L68" i="1"/>
  <c r="D149" i="26"/>
  <c r="D150" i="26"/>
  <c r="D129" i="26"/>
  <c r="D130" i="26"/>
  <c r="D131" i="26"/>
  <c r="D132" i="26"/>
  <c r="D143" i="17"/>
  <c r="D152" i="17"/>
  <c r="D154" i="17"/>
  <c r="J11" i="24"/>
  <c r="C42" i="12"/>
  <c r="C13" i="12"/>
  <c r="B237" i="14"/>
  <c r="B238" i="14"/>
  <c r="C244" i="14"/>
  <c r="B163" i="14"/>
  <c r="B141" i="14"/>
  <c r="D160" i="13"/>
  <c r="D165" i="13"/>
  <c r="C32" i="13"/>
  <c r="C160" i="13"/>
  <c r="B164" i="14"/>
  <c r="B142" i="14"/>
  <c r="D161" i="13"/>
  <c r="D166" i="13"/>
  <c r="D33" i="13"/>
  <c r="C34" i="13"/>
  <c r="C161" i="13"/>
  <c r="B165" i="14"/>
  <c r="B143" i="14"/>
  <c r="D167" i="13"/>
  <c r="D162" i="13"/>
  <c r="C35" i="13"/>
  <c r="C162" i="13"/>
  <c r="B227" i="14"/>
  <c r="B181" i="14"/>
  <c r="C185" i="14"/>
  <c r="B197" i="14"/>
  <c r="C202" i="14"/>
  <c r="B188" i="14"/>
  <c r="C194" i="14"/>
  <c r="B205" i="14"/>
  <c r="C210" i="14"/>
  <c r="B153" i="14"/>
  <c r="C158" i="14"/>
  <c r="B133" i="14"/>
  <c r="C136" i="14"/>
  <c r="B30" i="10"/>
  <c r="B33" i="10"/>
  <c r="I6" i="25"/>
  <c r="M21" i="25"/>
  <c r="N21" i="25"/>
  <c r="K4" i="25"/>
  <c r="L4" i="25"/>
  <c r="D140" i="26"/>
  <c r="D136" i="26"/>
  <c r="D135" i="26"/>
  <c r="I11" i="24"/>
  <c r="K11" i="24"/>
  <c r="L11" i="24"/>
  <c r="J8" i="7"/>
  <c r="J33" i="1"/>
  <c r="L47" i="24"/>
  <c r="J54" i="1"/>
  <c r="J11" i="7"/>
  <c r="J8" i="24"/>
  <c r="L30" i="7"/>
  <c r="J14" i="24"/>
  <c r="D93" i="13"/>
  <c r="D91" i="13"/>
  <c r="D79" i="13"/>
  <c r="C79" i="13"/>
  <c r="D76" i="13"/>
  <c r="D77" i="13"/>
  <c r="D89" i="13"/>
  <c r="D90" i="13"/>
  <c r="B144" i="14"/>
  <c r="C149" i="14"/>
  <c r="B166" i="14"/>
  <c r="C171" i="14"/>
  <c r="C165" i="13"/>
  <c r="B228" i="14"/>
  <c r="B229" i="14"/>
  <c r="C234" i="14"/>
  <c r="D36" i="13"/>
  <c r="C33" i="13"/>
  <c r="B21" i="10"/>
  <c r="D142" i="26"/>
  <c r="D151" i="26"/>
  <c r="D153" i="26"/>
  <c r="I8" i="7"/>
  <c r="K8" i="7"/>
  <c r="L8" i="7"/>
  <c r="I8" i="24"/>
  <c r="K8" i="24"/>
  <c r="L8" i="24"/>
  <c r="I33" i="1"/>
  <c r="K33" i="1"/>
  <c r="L33" i="1"/>
  <c r="I54" i="1"/>
  <c r="K54" i="1"/>
  <c r="L54" i="1"/>
  <c r="K30" i="7"/>
  <c r="M30" i="7"/>
  <c r="N30" i="7"/>
  <c r="K47" i="24"/>
  <c r="M47" i="24"/>
  <c r="N47" i="24"/>
  <c r="I11" i="7"/>
  <c r="K11" i="7"/>
  <c r="L11" i="7"/>
  <c r="I14" i="24"/>
  <c r="K14" i="24"/>
  <c r="L14" i="24"/>
  <c r="C147" i="14"/>
  <c r="C150" i="14"/>
  <c r="D96" i="13"/>
  <c r="D110" i="13"/>
  <c r="C216" i="14"/>
  <c r="D99" i="13"/>
  <c r="D103" i="13"/>
  <c r="D111" i="13"/>
  <c r="C76" i="13"/>
  <c r="C44" i="12"/>
  <c r="C169" i="14"/>
  <c r="C172" i="14"/>
  <c r="D68" i="13"/>
  <c r="D46" i="13"/>
  <c r="D43" i="13"/>
  <c r="D40" i="13"/>
  <c r="D44" i="13"/>
  <c r="D42" i="13"/>
  <c r="D47" i="13"/>
  <c r="D45" i="13"/>
  <c r="D41" i="13"/>
  <c r="B17" i="10"/>
  <c r="C15" i="10"/>
  <c r="C14" i="10"/>
  <c r="C13" i="10"/>
  <c r="C12" i="10"/>
  <c r="C10" i="10"/>
  <c r="B6" i="10"/>
  <c r="C107" i="10"/>
  <c r="D49" i="9"/>
  <c r="B5" i="10"/>
  <c r="J5" i="25"/>
  <c r="J3" i="25"/>
  <c r="L20" i="25"/>
  <c r="J67" i="1"/>
  <c r="D78" i="13"/>
  <c r="D81" i="13"/>
  <c r="D82" i="13"/>
  <c r="D164" i="13"/>
  <c r="C217" i="14"/>
  <c r="D112" i="13"/>
  <c r="D48" i="13"/>
  <c r="D69" i="13"/>
  <c r="D71" i="13"/>
  <c r="C142" i="9"/>
  <c r="K67" i="1"/>
  <c r="I67" i="1"/>
  <c r="K5" i="25"/>
  <c r="L5" i="25"/>
  <c r="M7" i="25"/>
  <c r="I5" i="25"/>
  <c r="K3" i="25"/>
  <c r="I3" i="25"/>
  <c r="M20" i="25"/>
  <c r="K20" i="25"/>
  <c r="D163" i="13"/>
  <c r="D168" i="13"/>
  <c r="C78" i="13"/>
  <c r="C163" i="13"/>
  <c r="C81" i="13"/>
  <c r="C164" i="13"/>
  <c r="C214" i="14"/>
  <c r="D149" i="13"/>
  <c r="C218" i="14"/>
  <c r="D150" i="13"/>
  <c r="C123" i="9"/>
  <c r="D123" i="9"/>
  <c r="C121" i="9"/>
  <c r="D120" i="9"/>
  <c r="C119" i="9"/>
  <c r="C117" i="9"/>
  <c r="D116" i="9"/>
  <c r="D117" i="9"/>
  <c r="C201" i="10"/>
  <c r="D121" i="9"/>
  <c r="L67" i="1"/>
  <c r="L70" i="1"/>
  <c r="K70" i="1"/>
  <c r="L3" i="25"/>
  <c r="K8" i="25"/>
  <c r="L8" i="25"/>
  <c r="N20" i="25"/>
  <c r="N23" i="25"/>
  <c r="M23" i="25"/>
  <c r="D119" i="9"/>
  <c r="C219" i="14"/>
  <c r="C221" i="14"/>
  <c r="C223" i="14"/>
  <c r="D58" i="9"/>
  <c r="D56" i="9"/>
  <c r="C54" i="9"/>
  <c r="D54" i="9"/>
  <c r="C52" i="9"/>
  <c r="D51" i="9"/>
  <c r="D107" i="13"/>
  <c r="D113" i="13"/>
  <c r="D114" i="13"/>
  <c r="D132" i="13"/>
  <c r="D133" i="13"/>
  <c r="D134" i="13"/>
  <c r="D135" i="13"/>
  <c r="D143" i="13"/>
  <c r="D60" i="9"/>
  <c r="D52" i="9"/>
  <c r="C50" i="9"/>
  <c r="D50" i="9"/>
  <c r="D61" i="9"/>
  <c r="D67" i="9"/>
  <c r="D138" i="13"/>
  <c r="D151" i="13"/>
  <c r="D153" i="13"/>
  <c r="D139" i="13"/>
  <c r="C39" i="9"/>
  <c r="C45" i="9"/>
  <c r="B229" i="10"/>
  <c r="D13" i="9"/>
  <c r="B208" i="5"/>
  <c r="B154" i="5"/>
  <c r="B147" i="5"/>
  <c r="B132" i="5"/>
  <c r="B125" i="5"/>
  <c r="B110" i="5"/>
  <c r="B113" i="5"/>
  <c r="C116" i="5"/>
  <c r="B101" i="5"/>
  <c r="B95" i="5"/>
  <c r="B90" i="5"/>
  <c r="C88" i="5"/>
  <c r="C86" i="5"/>
  <c r="B84" i="5"/>
  <c r="B85" i="5"/>
  <c r="B80" i="5"/>
  <c r="B71" i="5"/>
  <c r="B74" i="5"/>
  <c r="B76" i="5"/>
  <c r="B65" i="5"/>
  <c r="B62" i="5"/>
  <c r="C60" i="5"/>
  <c r="C58" i="5"/>
  <c r="B49" i="5"/>
  <c r="B47" i="5"/>
  <c r="C45" i="5"/>
  <c r="C41" i="5"/>
  <c r="C39" i="5"/>
  <c r="B30" i="5"/>
  <c r="B33" i="5"/>
  <c r="B35" i="5"/>
  <c r="B21" i="5"/>
  <c r="B17" i="5"/>
  <c r="C15" i="5"/>
  <c r="C12" i="5"/>
  <c r="C10" i="5"/>
  <c r="B6" i="5"/>
  <c r="B5" i="5"/>
  <c r="C142" i="6"/>
  <c r="C123" i="6"/>
  <c r="D123" i="6"/>
  <c r="D145" i="13"/>
  <c r="D154" i="13"/>
  <c r="D156" i="13"/>
  <c r="C59" i="10"/>
  <c r="C61" i="10"/>
  <c r="C64" i="10"/>
  <c r="C66" i="10"/>
  <c r="C69" i="10"/>
  <c r="C77" i="10"/>
  <c r="C40" i="10"/>
  <c r="C87" i="10"/>
  <c r="C89" i="10"/>
  <c r="C92" i="10"/>
  <c r="C11" i="10"/>
  <c r="C16" i="10"/>
  <c r="C18" i="10"/>
  <c r="B104" i="5"/>
  <c r="C107" i="5"/>
  <c r="C121" i="6"/>
  <c r="D120" i="6"/>
  <c r="C119" i="6"/>
  <c r="C117" i="6"/>
  <c r="D116" i="6"/>
  <c r="D58" i="6"/>
  <c r="D56" i="6"/>
  <c r="C54" i="6"/>
  <c r="D54" i="6"/>
  <c r="C52" i="6"/>
  <c r="D51" i="6"/>
  <c r="C50" i="6"/>
  <c r="C39" i="6"/>
  <c r="C45" i="6"/>
  <c r="B229" i="5"/>
  <c r="D13" i="6"/>
  <c r="B208" i="4"/>
  <c r="J51" i="1"/>
  <c r="J20" i="24"/>
  <c r="L44" i="24"/>
  <c r="D52" i="6"/>
  <c r="D49" i="6"/>
  <c r="D50" i="6"/>
  <c r="C59" i="5"/>
  <c r="C61" i="5"/>
  <c r="C64" i="5"/>
  <c r="C66" i="5"/>
  <c r="C11" i="5"/>
  <c r="C87" i="5"/>
  <c r="C89" i="5"/>
  <c r="C92" i="5"/>
  <c r="C40" i="5"/>
  <c r="C21" i="10"/>
  <c r="C22" i="10"/>
  <c r="C23" i="10"/>
  <c r="C25" i="10"/>
  <c r="C28" i="10"/>
  <c r="B35" i="10"/>
  <c r="C36" i="10"/>
  <c r="D119" i="6"/>
  <c r="D60" i="6"/>
  <c r="D121" i="6"/>
  <c r="C201" i="5"/>
  <c r="D117" i="6"/>
  <c r="I51" i="1"/>
  <c r="K51" i="1"/>
  <c r="L51" i="1"/>
  <c r="K44" i="24"/>
  <c r="M44" i="24"/>
  <c r="N44" i="24"/>
  <c r="I20" i="24"/>
  <c r="K20" i="24"/>
  <c r="L20" i="24"/>
  <c r="D61" i="6"/>
  <c r="D67" i="6"/>
  <c r="C69" i="5"/>
  <c r="C77" i="5"/>
  <c r="D15" i="6"/>
  <c r="D23" i="9"/>
  <c r="C44" i="10"/>
  <c r="C46" i="10"/>
  <c r="C48" i="10"/>
  <c r="C51" i="10"/>
  <c r="D124" i="6"/>
  <c r="D149" i="6"/>
  <c r="B154" i="4"/>
  <c r="B147" i="4"/>
  <c r="B132" i="4"/>
  <c r="B125" i="4"/>
  <c r="B101" i="4"/>
  <c r="B95" i="4"/>
  <c r="C13" i="5"/>
  <c r="C42" i="5"/>
  <c r="D32" i="9"/>
  <c r="D145" i="9"/>
  <c r="B7" i="10"/>
  <c r="B126" i="10"/>
  <c r="B148" i="10"/>
  <c r="B222" i="10"/>
  <c r="D29" i="9"/>
  <c r="C199" i="10"/>
  <c r="D31" i="9"/>
  <c r="B90" i="4"/>
  <c r="C88" i="4"/>
  <c r="C86" i="4"/>
  <c r="B84" i="4"/>
  <c r="B85" i="4"/>
  <c r="B80" i="4"/>
  <c r="B71" i="4"/>
  <c r="B74" i="4"/>
  <c r="B76" i="4"/>
  <c r="B65" i="4"/>
  <c r="C31" i="9"/>
  <c r="C158" i="9"/>
  <c r="D163" i="9"/>
  <c r="D158" i="9"/>
  <c r="B128" i="10"/>
  <c r="B127" i="10"/>
  <c r="B129" i="10"/>
  <c r="B130" i="10"/>
  <c r="B150" i="10"/>
  <c r="D30" i="9"/>
  <c r="C32" i="9"/>
  <c r="C159" i="9"/>
  <c r="D159" i="9"/>
  <c r="B151" i="10"/>
  <c r="D164" i="9"/>
  <c r="C29" i="9"/>
  <c r="C157" i="9"/>
  <c r="D157" i="9"/>
  <c r="B149" i="10"/>
  <c r="B223" i="10"/>
  <c r="B224" i="10"/>
  <c r="C230" i="10"/>
  <c r="D162" i="9"/>
  <c r="C162" i="9"/>
  <c r="B174" i="10"/>
  <c r="C180" i="10"/>
  <c r="D87" i="9"/>
  <c r="B213" i="10"/>
  <c r="B191" i="10"/>
  <c r="C196" i="10"/>
  <c r="D90" i="9"/>
  <c r="B139" i="10"/>
  <c r="C144" i="10"/>
  <c r="D76" i="9"/>
  <c r="B119" i="10"/>
  <c r="C122" i="10"/>
  <c r="D73" i="9"/>
  <c r="B167" i="10"/>
  <c r="C171" i="10"/>
  <c r="D86" i="9"/>
  <c r="B183" i="10"/>
  <c r="C188" i="10"/>
  <c r="D88" i="9"/>
  <c r="C44" i="5"/>
  <c r="B62" i="4"/>
  <c r="C60" i="4"/>
  <c r="C58" i="4"/>
  <c r="B49" i="4"/>
  <c r="B47" i="4"/>
  <c r="C45" i="4"/>
  <c r="C43" i="4"/>
  <c r="C42" i="4"/>
  <c r="C41" i="4"/>
  <c r="C39" i="4"/>
  <c r="B30" i="4"/>
  <c r="B33" i="4"/>
  <c r="B21" i="4"/>
  <c r="B214" i="10"/>
  <c r="B215" i="10"/>
  <c r="C220" i="10"/>
  <c r="D96" i="9"/>
  <c r="D100" i="9"/>
  <c r="D108" i="9"/>
  <c r="C135" i="10"/>
  <c r="C133" i="10"/>
  <c r="C136" i="10"/>
  <c r="D75" i="9"/>
  <c r="C75" i="9"/>
  <c r="C160" i="9"/>
  <c r="C76" i="9"/>
  <c r="D93" i="9"/>
  <c r="D107" i="9"/>
  <c r="C202" i="10"/>
  <c r="B152" i="10"/>
  <c r="D74" i="9"/>
  <c r="C73" i="9"/>
  <c r="C30" i="9"/>
  <c r="D33" i="9"/>
  <c r="B17" i="4"/>
  <c r="C15" i="4"/>
  <c r="C14" i="4"/>
  <c r="C13" i="4"/>
  <c r="C12" i="4"/>
  <c r="C10" i="4"/>
  <c r="B6" i="4"/>
  <c r="B104" i="4"/>
  <c r="C107" i="4"/>
  <c r="B5" i="4"/>
  <c r="C142" i="2"/>
  <c r="D109" i="9"/>
  <c r="D49" i="2"/>
  <c r="D40" i="9"/>
  <c r="D41" i="9"/>
  <c r="D42" i="9"/>
  <c r="D65" i="9"/>
  <c r="D43" i="9"/>
  <c r="D38" i="9"/>
  <c r="D37" i="9"/>
  <c r="D44" i="9"/>
  <c r="D39" i="9"/>
  <c r="C155" i="10"/>
  <c r="C157" i="10"/>
  <c r="D160" i="9"/>
  <c r="C203" i="10"/>
  <c r="C123" i="2"/>
  <c r="C121" i="2"/>
  <c r="D120" i="2"/>
  <c r="C119" i="2"/>
  <c r="D119" i="2"/>
  <c r="C117" i="2"/>
  <c r="D116" i="2"/>
  <c r="D60" i="2"/>
  <c r="C54" i="2"/>
  <c r="D54" i="2"/>
  <c r="C52" i="2"/>
  <c r="D51" i="2"/>
  <c r="C50" i="2"/>
  <c r="C39" i="2"/>
  <c r="C45" i="2"/>
  <c r="B229" i="4"/>
  <c r="D50" i="2"/>
  <c r="C158" i="10"/>
  <c r="D78" i="9"/>
  <c r="D45" i="9"/>
  <c r="D66" i="9"/>
  <c r="D68" i="9"/>
  <c r="D56" i="2"/>
  <c r="D52" i="2"/>
  <c r="D121" i="2"/>
  <c r="D58" i="2"/>
  <c r="D123" i="2"/>
  <c r="C201" i="4"/>
  <c r="D117" i="2"/>
  <c r="D124" i="2"/>
  <c r="C200" i="10"/>
  <c r="D146" i="9"/>
  <c r="C78" i="9"/>
  <c r="C161" i="9"/>
  <c r="D161" i="9"/>
  <c r="D165" i="9"/>
  <c r="D79" i="9"/>
  <c r="D61" i="2"/>
  <c r="D67" i="2"/>
  <c r="D149" i="2"/>
  <c r="C87" i="4"/>
  <c r="C89" i="4"/>
  <c r="C92" i="4"/>
  <c r="C40" i="4"/>
  <c r="C11" i="4"/>
  <c r="C16" i="4"/>
  <c r="C18" i="4"/>
  <c r="C59" i="4"/>
  <c r="C61" i="4"/>
  <c r="C64" i="4"/>
  <c r="C66" i="4"/>
  <c r="C69" i="4"/>
  <c r="C77" i="4"/>
  <c r="C204" i="10"/>
  <c r="C205" i="10"/>
  <c r="C207" i="10"/>
  <c r="C209" i="10"/>
  <c r="D103" i="9"/>
  <c r="D104" i="9"/>
  <c r="D110" i="9"/>
  <c r="D111" i="9"/>
  <c r="D148" i="9"/>
  <c r="D147" i="9"/>
  <c r="C28" i="4"/>
  <c r="B35" i="4"/>
  <c r="C36" i="4"/>
  <c r="C21" i="4"/>
  <c r="C22" i="4"/>
  <c r="C23" i="4"/>
  <c r="C25" i="4"/>
  <c r="C44" i="4"/>
  <c r="C46" i="4"/>
  <c r="C48" i="4"/>
  <c r="C51" i="4"/>
  <c r="B222" i="4"/>
  <c r="B7" i="4"/>
  <c r="D145" i="2"/>
  <c r="B126" i="4"/>
  <c r="B148" i="4"/>
  <c r="C199" i="4"/>
  <c r="C31" i="2"/>
  <c r="C158" i="2"/>
  <c r="B150" i="4"/>
  <c r="B128" i="4"/>
  <c r="D158" i="2"/>
  <c r="D163" i="2"/>
  <c r="D164" i="2"/>
  <c r="C32" i="2"/>
  <c r="C159" i="2"/>
  <c r="D159" i="2"/>
  <c r="B129" i="4"/>
  <c r="B151" i="4"/>
  <c r="B213" i="4"/>
  <c r="B214" i="4"/>
  <c r="B215" i="4"/>
  <c r="C220" i="4"/>
  <c r="D96" i="2"/>
  <c r="B183" i="4"/>
  <c r="C188" i="4"/>
  <c r="D88" i="2"/>
  <c r="B167" i="4"/>
  <c r="C171" i="4"/>
  <c r="D86" i="2"/>
  <c r="B119" i="4"/>
  <c r="C122" i="4"/>
  <c r="D73" i="2"/>
  <c r="B139" i="4"/>
  <c r="C144" i="4"/>
  <c r="D76" i="2"/>
  <c r="B174" i="4"/>
  <c r="C180" i="4"/>
  <c r="D87" i="2"/>
  <c r="B191" i="4"/>
  <c r="C196" i="4"/>
  <c r="D90" i="2"/>
  <c r="D157" i="2"/>
  <c r="B223" i="4"/>
  <c r="B224" i="4"/>
  <c r="C230" i="4"/>
  <c r="B149" i="4"/>
  <c r="C29" i="2"/>
  <c r="C157" i="2"/>
  <c r="B127" i="4"/>
  <c r="D162" i="2"/>
  <c r="D100" i="2"/>
  <c r="D108" i="2"/>
  <c r="C203" i="4"/>
  <c r="B152" i="4"/>
  <c r="C157" i="4"/>
  <c r="C162" i="2"/>
  <c r="D93" i="2"/>
  <c r="D107" i="2"/>
  <c r="C202" i="4"/>
  <c r="C30" i="2"/>
  <c r="C73" i="2"/>
  <c r="B130" i="4"/>
  <c r="C76" i="2"/>
  <c r="C155" i="4"/>
  <c r="C158" i="4"/>
  <c r="D78" i="2"/>
  <c r="C135" i="4"/>
  <c r="C133" i="4"/>
  <c r="C136" i="4"/>
  <c r="D75" i="2"/>
  <c r="D44" i="2"/>
  <c r="D65" i="2"/>
  <c r="D42" i="2"/>
  <c r="D41" i="2"/>
  <c r="D38" i="2"/>
  <c r="D39" i="2"/>
  <c r="D40" i="2"/>
  <c r="D43" i="2"/>
  <c r="D109" i="2"/>
  <c r="D45" i="2"/>
  <c r="D66" i="2"/>
  <c r="D68" i="2"/>
  <c r="C200" i="4"/>
  <c r="D160" i="2"/>
  <c r="C75" i="2"/>
  <c r="C160" i="2"/>
  <c r="C78" i="2"/>
  <c r="C161" i="2"/>
  <c r="D161" i="2"/>
  <c r="D79" i="2"/>
  <c r="D165" i="2"/>
  <c r="D146" i="2"/>
  <c r="D147" i="2"/>
  <c r="C204" i="4"/>
  <c r="C205" i="4"/>
  <c r="C207" i="4"/>
  <c r="C209" i="4"/>
  <c r="D103" i="2"/>
  <c r="D104" i="2"/>
  <c r="D110" i="2"/>
  <c r="D111" i="2"/>
  <c r="D129" i="2"/>
  <c r="D130" i="2"/>
  <c r="D131" i="2"/>
  <c r="D132" i="2"/>
  <c r="D148" i="2"/>
  <c r="D150" i="2"/>
  <c r="D126" i="11"/>
  <c r="D124" i="9"/>
  <c r="D136" i="2"/>
  <c r="D140" i="2"/>
  <c r="D135" i="2"/>
  <c r="D151" i="11"/>
  <c r="D129" i="9"/>
  <c r="D130" i="9"/>
  <c r="D131" i="9"/>
  <c r="D132" i="9"/>
  <c r="D149" i="9"/>
  <c r="D150" i="9"/>
  <c r="D142" i="2"/>
  <c r="D151" i="2"/>
  <c r="D153" i="2"/>
  <c r="D140" i="9"/>
  <c r="D135" i="9"/>
  <c r="D136" i="9"/>
  <c r="J18" i="24"/>
  <c r="L42" i="24"/>
  <c r="J8" i="23"/>
  <c r="L26" i="23"/>
  <c r="J49" i="1"/>
  <c r="J3" i="23"/>
  <c r="J39" i="1"/>
  <c r="D142" i="9"/>
  <c r="D151" i="9"/>
  <c r="D153" i="9"/>
  <c r="J9" i="24"/>
  <c r="I9" i="24"/>
  <c r="K9" i="24"/>
  <c r="L9" i="24"/>
  <c r="J12" i="24"/>
  <c r="J24" i="24"/>
  <c r="J3" i="7"/>
  <c r="J5" i="23"/>
  <c r="J3" i="24"/>
  <c r="J15" i="24"/>
  <c r="L45" i="24"/>
  <c r="J42" i="1"/>
  <c r="J6" i="7"/>
  <c r="J9" i="7"/>
  <c r="J52" i="1"/>
  <c r="J21" i="24"/>
  <c r="L29" i="23"/>
  <c r="L28" i="7"/>
  <c r="J31" i="1"/>
  <c r="J6" i="24"/>
  <c r="I18" i="24"/>
  <c r="K18" i="24"/>
  <c r="K42" i="24"/>
  <c r="M42" i="24"/>
  <c r="I8" i="23"/>
  <c r="K8" i="23"/>
  <c r="L8" i="23"/>
  <c r="K26" i="23"/>
  <c r="M26" i="23"/>
  <c r="I49" i="1"/>
  <c r="K49" i="1"/>
  <c r="I3" i="23"/>
  <c r="K3" i="23"/>
  <c r="I39" i="1"/>
  <c r="K39" i="1"/>
  <c r="D25" i="19"/>
  <c r="I12" i="24"/>
  <c r="K12" i="24"/>
  <c r="L12" i="24"/>
  <c r="I9" i="7"/>
  <c r="K9" i="7"/>
  <c r="L9" i="7"/>
  <c r="I52" i="1"/>
  <c r="K52" i="1"/>
  <c r="L52" i="1"/>
  <c r="I21" i="24"/>
  <c r="K21" i="24"/>
  <c r="L21" i="24"/>
  <c r="K29" i="23"/>
  <c r="M29" i="23"/>
  <c r="N29" i="23"/>
  <c r="I31" i="1"/>
  <c r="K31" i="1"/>
  <c r="K45" i="24"/>
  <c r="M45" i="24"/>
  <c r="N45" i="24"/>
  <c r="I6" i="7"/>
  <c r="K6" i="7"/>
  <c r="L6" i="7"/>
  <c r="I24" i="24"/>
  <c r="K24" i="24"/>
  <c r="L24" i="24"/>
  <c r="I3" i="7"/>
  <c r="K3" i="7"/>
  <c r="I5" i="23"/>
  <c r="K5" i="23"/>
  <c r="L5" i="23"/>
  <c r="I3" i="24"/>
  <c r="K3" i="24"/>
  <c r="L3" i="24"/>
  <c r="K28" i="7"/>
  <c r="M28" i="7"/>
  <c r="I15" i="24"/>
  <c r="K15" i="24"/>
  <c r="L15" i="24"/>
  <c r="I6" i="24"/>
  <c r="K6" i="24"/>
  <c r="L6" i="24"/>
  <c r="I42" i="1"/>
  <c r="K42" i="1"/>
  <c r="L42" i="1"/>
  <c r="L49" i="1"/>
  <c r="N42" i="24"/>
  <c r="L39" i="1"/>
  <c r="L18" i="24"/>
  <c r="L3" i="23"/>
  <c r="N26" i="23"/>
  <c r="B7" i="20"/>
  <c r="B162" i="20"/>
  <c r="C213" i="20"/>
  <c r="B236" i="20"/>
  <c r="B140" i="20"/>
  <c r="D31" i="19"/>
  <c r="D33" i="19"/>
  <c r="D34" i="19"/>
  <c r="D147" i="19"/>
  <c r="N28" i="7"/>
  <c r="L3" i="7"/>
  <c r="L31" i="1"/>
  <c r="B227" i="20"/>
  <c r="B188" i="20"/>
  <c r="C194" i="20"/>
  <c r="D89" i="19"/>
  <c r="B197" i="20"/>
  <c r="C202" i="20"/>
  <c r="D90" i="19"/>
  <c r="B205" i="20"/>
  <c r="C210" i="20"/>
  <c r="D92" i="19"/>
  <c r="B133" i="20"/>
  <c r="C136" i="20"/>
  <c r="D75" i="19"/>
  <c r="B153" i="20"/>
  <c r="C158" i="20"/>
  <c r="D78" i="19"/>
  <c r="B181" i="20"/>
  <c r="C185" i="20"/>
  <c r="D88" i="19"/>
  <c r="B164" i="20"/>
  <c r="B142" i="20"/>
  <c r="B163" i="20"/>
  <c r="B237" i="20"/>
  <c r="B238" i="20"/>
  <c r="C244" i="20"/>
  <c r="B141" i="20"/>
  <c r="B143" i="20"/>
  <c r="B165" i="20"/>
  <c r="D159" i="19"/>
  <c r="C31" i="19"/>
  <c r="C159" i="19"/>
  <c r="D164" i="19"/>
  <c r="D166" i="19"/>
  <c r="C34" i="19"/>
  <c r="C161" i="19"/>
  <c r="D161" i="19"/>
  <c r="D160" i="19"/>
  <c r="D165" i="19"/>
  <c r="C33" i="19"/>
  <c r="C160" i="19"/>
  <c r="D32" i="19"/>
  <c r="B166" i="20"/>
  <c r="C169" i="20"/>
  <c r="C78" i="19"/>
  <c r="B144" i="20"/>
  <c r="C147" i="20"/>
  <c r="D77" i="19"/>
  <c r="D95" i="19"/>
  <c r="D109" i="19"/>
  <c r="C216" i="20"/>
  <c r="D76" i="19"/>
  <c r="C75" i="19"/>
  <c r="B228" i="20"/>
  <c r="B229" i="20"/>
  <c r="C234" i="20"/>
  <c r="D98" i="19"/>
  <c r="D102" i="19"/>
  <c r="D110" i="19"/>
  <c r="D35" i="19"/>
  <c r="C32" i="19"/>
  <c r="C164" i="19"/>
  <c r="C171" i="20"/>
  <c r="C172" i="20"/>
  <c r="C217" i="20"/>
  <c r="D111" i="19"/>
  <c r="C149" i="20"/>
  <c r="D67" i="19"/>
  <c r="D46" i="19"/>
  <c r="D39" i="19"/>
  <c r="D42" i="19"/>
  <c r="D45" i="19"/>
  <c r="D44" i="19"/>
  <c r="D40" i="19"/>
  <c r="D41" i="19"/>
  <c r="D43" i="19"/>
  <c r="C150" i="20"/>
  <c r="D80" i="19"/>
  <c r="D162" i="19"/>
  <c r="D47" i="19"/>
  <c r="D68" i="19"/>
  <c r="D70" i="19"/>
  <c r="D148" i="19"/>
  <c r="C214" i="20"/>
  <c r="C77" i="19"/>
  <c r="C162" i="19"/>
  <c r="D81" i="19"/>
  <c r="D163" i="19"/>
  <c r="D167" i="19"/>
  <c r="C80" i="19"/>
  <c r="C163" i="19"/>
  <c r="C218" i="20"/>
  <c r="C219" i="20"/>
  <c r="C221" i="20"/>
  <c r="C223" i="20"/>
  <c r="D106" i="19"/>
  <c r="D112" i="19"/>
  <c r="D113" i="19"/>
  <c r="D150" i="19"/>
  <c r="D149" i="19"/>
  <c r="D152" i="19"/>
  <c r="D131" i="19"/>
  <c r="D132" i="19"/>
  <c r="D133" i="19"/>
  <c r="D134" i="19"/>
  <c r="D138" i="19"/>
  <c r="D137" i="19"/>
  <c r="D142" i="19"/>
  <c r="D144" i="19"/>
  <c r="D153" i="19"/>
  <c r="D155" i="19"/>
  <c r="L28" i="23"/>
  <c r="J10" i="23"/>
  <c r="J41" i="1"/>
  <c r="B96" i="12"/>
  <c r="B97" i="12"/>
  <c r="C98" i="12"/>
  <c r="D18" i="11"/>
  <c r="B96" i="5"/>
  <c r="B97" i="5"/>
  <c r="C98" i="5"/>
  <c r="D16" i="6"/>
  <c r="D23" i="6"/>
  <c r="C43" i="5"/>
  <c r="C46" i="5"/>
  <c r="C48" i="5"/>
  <c r="C51" i="5"/>
  <c r="C14" i="5"/>
  <c r="C16" i="5"/>
  <c r="C18" i="5"/>
  <c r="C14" i="12"/>
  <c r="C16" i="12"/>
  <c r="C18" i="12"/>
  <c r="C43" i="12"/>
  <c r="C46" i="12"/>
  <c r="C48" i="12"/>
  <c r="C51" i="12"/>
  <c r="D25" i="11"/>
  <c r="K28" i="23"/>
  <c r="M28" i="23"/>
  <c r="I41" i="1"/>
  <c r="K41" i="1"/>
  <c r="I10" i="23"/>
  <c r="K10" i="23"/>
  <c r="C21" i="12"/>
  <c r="C22" i="12"/>
  <c r="C23" i="12"/>
  <c r="C25" i="12"/>
  <c r="C28" i="12"/>
  <c r="C36" i="12"/>
  <c r="D29" i="6"/>
  <c r="B7" i="5"/>
  <c r="B148" i="5"/>
  <c r="D145" i="6"/>
  <c r="B126" i="5"/>
  <c r="D32" i="6"/>
  <c r="B222" i="5"/>
  <c r="C199" i="5"/>
  <c r="D31" i="6"/>
  <c r="C21" i="5"/>
  <c r="C22" i="5"/>
  <c r="C23" i="5"/>
  <c r="C25" i="5"/>
  <c r="C28" i="5"/>
  <c r="C36" i="5"/>
  <c r="D147" i="11"/>
  <c r="D31" i="11"/>
  <c r="B126" i="12"/>
  <c r="B148" i="12"/>
  <c r="D34" i="11"/>
  <c r="C199" i="12"/>
  <c r="B222" i="12"/>
  <c r="D33" i="11"/>
  <c r="B7" i="12"/>
  <c r="N28" i="23"/>
  <c r="L41" i="1"/>
  <c r="L10" i="23"/>
  <c r="C34" i="11"/>
  <c r="C161" i="11"/>
  <c r="D161" i="11"/>
  <c r="B151" i="12"/>
  <c r="B129" i="12"/>
  <c r="D166" i="11"/>
  <c r="D163" i="6"/>
  <c r="D30" i="6"/>
  <c r="B128" i="5"/>
  <c r="B150" i="5"/>
  <c r="D158" i="6"/>
  <c r="C31" i="6"/>
  <c r="C158" i="6"/>
  <c r="C32" i="6"/>
  <c r="C159" i="6"/>
  <c r="D159" i="6"/>
  <c r="B151" i="5"/>
  <c r="B129" i="5"/>
  <c r="D164" i="6"/>
  <c r="B223" i="5"/>
  <c r="B224" i="5"/>
  <c r="C230" i="5"/>
  <c r="B149" i="5"/>
  <c r="D162" i="6"/>
  <c r="C162" i="6"/>
  <c r="C29" i="6"/>
  <c r="C157" i="6"/>
  <c r="D157" i="6"/>
  <c r="B127" i="5"/>
  <c r="B130" i="5"/>
  <c r="C33" i="11"/>
  <c r="C160" i="11"/>
  <c r="D160" i="11"/>
  <c r="D32" i="11"/>
  <c r="D165" i="11"/>
  <c r="B150" i="12"/>
  <c r="B128" i="12"/>
  <c r="B223" i="12"/>
  <c r="B224" i="12"/>
  <c r="C230" i="12"/>
  <c r="D164" i="11"/>
  <c r="B149" i="12"/>
  <c r="B127" i="12"/>
  <c r="D159" i="11"/>
  <c r="C31" i="11"/>
  <c r="C159" i="11"/>
  <c r="B119" i="12"/>
  <c r="C122" i="12"/>
  <c r="D75" i="11"/>
  <c r="B139" i="12"/>
  <c r="C144" i="12"/>
  <c r="D78" i="11"/>
  <c r="B167" i="12"/>
  <c r="C171" i="12"/>
  <c r="D88" i="11"/>
  <c r="B213" i="12"/>
  <c r="B214" i="12"/>
  <c r="B215" i="12"/>
  <c r="C220" i="12"/>
  <c r="D98" i="11"/>
  <c r="B191" i="12"/>
  <c r="C196" i="12"/>
  <c r="D92" i="11"/>
  <c r="B183" i="12"/>
  <c r="C188" i="12"/>
  <c r="D90" i="11"/>
  <c r="B174" i="12"/>
  <c r="C180" i="12"/>
  <c r="D89" i="11"/>
  <c r="B167" i="5"/>
  <c r="C171" i="5"/>
  <c r="D86" i="6"/>
  <c r="B213" i="5"/>
  <c r="B174" i="5"/>
  <c r="C180" i="5"/>
  <c r="D87" i="6"/>
  <c r="B191" i="5"/>
  <c r="C196" i="5"/>
  <c r="D90" i="6"/>
  <c r="B183" i="5"/>
  <c r="C188" i="5"/>
  <c r="D88" i="6"/>
  <c r="B119" i="5"/>
  <c r="C122" i="5"/>
  <c r="D73" i="6"/>
  <c r="B139" i="5"/>
  <c r="C144" i="5"/>
  <c r="D76" i="6"/>
  <c r="B130" i="12"/>
  <c r="C135" i="12"/>
  <c r="B152" i="12"/>
  <c r="C157" i="12"/>
  <c r="D95" i="11"/>
  <c r="D109" i="11"/>
  <c r="C202" i="12"/>
  <c r="D102" i="11"/>
  <c r="D110" i="11"/>
  <c r="B152" i="5"/>
  <c r="C155" i="5"/>
  <c r="D93" i="6"/>
  <c r="D107" i="6"/>
  <c r="C202" i="5"/>
  <c r="B214" i="5"/>
  <c r="B215" i="5"/>
  <c r="C220" i="5"/>
  <c r="D96" i="6"/>
  <c r="C73" i="6"/>
  <c r="D74" i="6"/>
  <c r="D33" i="6"/>
  <c r="C30" i="6"/>
  <c r="C133" i="5"/>
  <c r="C135" i="5"/>
  <c r="D76" i="11"/>
  <c r="C75" i="11"/>
  <c r="C78" i="11"/>
  <c r="C32" i="11"/>
  <c r="D35" i="11"/>
  <c r="C76" i="6"/>
  <c r="C164" i="11"/>
  <c r="C155" i="12"/>
  <c r="C158" i="12"/>
  <c r="D80" i="11"/>
  <c r="D163" i="11"/>
  <c r="C133" i="12"/>
  <c r="C136" i="12"/>
  <c r="D77" i="11"/>
  <c r="D111" i="11"/>
  <c r="C203" i="12"/>
  <c r="C157" i="5"/>
  <c r="C158" i="5"/>
  <c r="D78" i="6"/>
  <c r="D100" i="6"/>
  <c r="D108" i="6"/>
  <c r="D67" i="11"/>
  <c r="D41" i="11"/>
  <c r="D46" i="11"/>
  <c r="D45" i="11"/>
  <c r="D44" i="11"/>
  <c r="D43" i="11"/>
  <c r="D40" i="11"/>
  <c r="D42" i="11"/>
  <c r="D39" i="11"/>
  <c r="D65" i="6"/>
  <c r="D37" i="6"/>
  <c r="D40" i="6"/>
  <c r="D42" i="6"/>
  <c r="D43" i="6"/>
  <c r="D41" i="6"/>
  <c r="D38" i="6"/>
  <c r="D44" i="6"/>
  <c r="D39" i="6"/>
  <c r="C136" i="5"/>
  <c r="D75" i="6"/>
  <c r="D81" i="11"/>
  <c r="D149" i="11"/>
  <c r="C80" i="11"/>
  <c r="C163" i="11"/>
  <c r="D45" i="6"/>
  <c r="D66" i="6"/>
  <c r="D68" i="6"/>
  <c r="D160" i="6"/>
  <c r="C75" i="6"/>
  <c r="C160" i="6"/>
  <c r="D79" i="6"/>
  <c r="D47" i="11"/>
  <c r="D68" i="11"/>
  <c r="D70" i="11"/>
  <c r="C77" i="11"/>
  <c r="C162" i="11"/>
  <c r="D162" i="11"/>
  <c r="D167" i="11"/>
  <c r="C78" i="6"/>
  <c r="C161" i="6"/>
  <c r="D161" i="6"/>
  <c r="D109" i="6"/>
  <c r="C203" i="5"/>
  <c r="C204" i="12"/>
  <c r="D165" i="6"/>
  <c r="D148" i="11"/>
  <c r="C200" i="12"/>
  <c r="D147" i="6"/>
  <c r="C204" i="5"/>
  <c r="C200" i="5"/>
  <c r="D146" i="6"/>
  <c r="C205" i="12"/>
  <c r="C207" i="12"/>
  <c r="C209" i="12"/>
  <c r="D105" i="11"/>
  <c r="D106" i="11"/>
  <c r="D112" i="11"/>
  <c r="D113" i="11"/>
  <c r="D131" i="11"/>
  <c r="D132" i="11"/>
  <c r="D133" i="11"/>
  <c r="D134" i="11"/>
  <c r="C205" i="5"/>
  <c r="C207" i="5"/>
  <c r="C209" i="5"/>
  <c r="D103" i="6"/>
  <c r="D104" i="6"/>
  <c r="D110" i="6"/>
  <c r="D111" i="6"/>
  <c r="D129" i="6"/>
  <c r="D150" i="11"/>
  <c r="D152" i="11"/>
  <c r="D148" i="6"/>
  <c r="D150" i="6"/>
  <c r="D130" i="6"/>
  <c r="D131" i="6"/>
  <c r="D132" i="6"/>
  <c r="D140" i="6"/>
  <c r="D142" i="11"/>
  <c r="D137" i="11"/>
  <c r="D138" i="11"/>
  <c r="D144" i="11"/>
  <c r="D153" i="11"/>
  <c r="D155" i="11"/>
  <c r="J7" i="24"/>
  <c r="D135" i="6"/>
  <c r="D136" i="6"/>
  <c r="J7" i="7"/>
  <c r="I7" i="7"/>
  <c r="J10" i="24"/>
  <c r="I10" i="24"/>
  <c r="L29" i="7"/>
  <c r="K29" i="7"/>
  <c r="J43" i="1"/>
  <c r="I43" i="1"/>
  <c r="L46" i="24"/>
  <c r="K46" i="24"/>
  <c r="J10" i="7"/>
  <c r="I10" i="7"/>
  <c r="J53" i="1"/>
  <c r="I53" i="1"/>
  <c r="J32" i="1"/>
  <c r="I32" i="1"/>
  <c r="J25" i="24"/>
  <c r="I25" i="24"/>
  <c r="L30" i="23"/>
  <c r="K30" i="23"/>
  <c r="J6" i="23"/>
  <c r="I6" i="23"/>
  <c r="D142" i="6"/>
  <c r="D151" i="6"/>
  <c r="D153" i="6"/>
  <c r="J50" i="1"/>
  <c r="K7" i="24"/>
  <c r="L7" i="24"/>
  <c r="M8" i="24"/>
  <c r="I7" i="24"/>
  <c r="K53" i="1"/>
  <c r="L53" i="1"/>
  <c r="K32" i="1"/>
  <c r="L32" i="1"/>
  <c r="K10" i="7"/>
  <c r="L10" i="7"/>
  <c r="M11" i="7"/>
  <c r="K43" i="1"/>
  <c r="L43" i="1"/>
  <c r="M46" i="24"/>
  <c r="N46" i="24"/>
  <c r="K6" i="23"/>
  <c r="L6" i="23"/>
  <c r="K10" i="24"/>
  <c r="L10" i="24"/>
  <c r="M11" i="24"/>
  <c r="M30" i="23"/>
  <c r="N30" i="23"/>
  <c r="K7" i="7"/>
  <c r="L7" i="7"/>
  <c r="M8" i="7"/>
  <c r="K25" i="24"/>
  <c r="L25" i="24"/>
  <c r="M25" i="24"/>
  <c r="M29" i="7"/>
  <c r="N29" i="7"/>
  <c r="J16" i="24"/>
  <c r="I16" i="24"/>
  <c r="L27" i="23"/>
  <c r="M27" i="23"/>
  <c r="L27" i="7"/>
  <c r="K27" i="7"/>
  <c r="J19" i="24"/>
  <c r="I19" i="24"/>
  <c r="J4" i="7"/>
  <c r="K4" i="7"/>
  <c r="J9" i="23"/>
  <c r="K9" i="23"/>
  <c r="L9" i="23"/>
  <c r="M10" i="23"/>
  <c r="J4" i="24"/>
  <c r="K4" i="24"/>
  <c r="J30" i="1"/>
  <c r="K30" i="1"/>
  <c r="J22" i="24"/>
  <c r="I22" i="24"/>
  <c r="L43" i="24"/>
  <c r="M43" i="24"/>
  <c r="J40" i="1"/>
  <c r="I40" i="1"/>
  <c r="J4" i="23"/>
  <c r="I4" i="23"/>
  <c r="J13" i="24"/>
  <c r="K13" i="24"/>
  <c r="L13" i="24"/>
  <c r="M14" i="24"/>
  <c r="K50" i="1"/>
  <c r="I50" i="1"/>
  <c r="I4" i="24"/>
  <c r="I4" i="7"/>
  <c r="K19" i="24"/>
  <c r="L19" i="24"/>
  <c r="M20" i="24"/>
  <c r="K4" i="23"/>
  <c r="K11" i="23"/>
  <c r="M27" i="7"/>
  <c r="M32" i="7"/>
  <c r="I13" i="24"/>
  <c r="I9" i="23"/>
  <c r="K43" i="24"/>
  <c r="K16" i="24"/>
  <c r="L16" i="24"/>
  <c r="M17" i="24"/>
  <c r="K27" i="23"/>
  <c r="I30" i="1"/>
  <c r="K40" i="1"/>
  <c r="K45" i="1"/>
  <c r="K22" i="24"/>
  <c r="L22" i="24"/>
  <c r="M23" i="24"/>
  <c r="K35" i="1"/>
  <c r="L35" i="1"/>
  <c r="L30" i="1"/>
  <c r="K12" i="7"/>
  <c r="L12" i="7"/>
  <c r="L4" i="7"/>
  <c r="M5" i="7"/>
  <c r="N27" i="23"/>
  <c r="N32" i="23"/>
  <c r="M32" i="23"/>
  <c r="N43" i="24"/>
  <c r="N49" i="24"/>
  <c r="M49" i="24"/>
  <c r="L4" i="24"/>
  <c r="M5" i="24"/>
  <c r="K56" i="1"/>
  <c r="L50" i="1"/>
  <c r="L56" i="1"/>
  <c r="L40" i="1"/>
  <c r="L45" i="1"/>
  <c r="L74" i="1"/>
  <c r="L4" i="23"/>
  <c r="L11" i="23"/>
  <c r="N27" i="7"/>
  <c r="N32" i="7"/>
  <c r="K26" i="24"/>
  <c r="L26" i="24"/>
  <c r="K74" i="1"/>
  <c r="B96" i="4"/>
  <c r="B97" i="4"/>
  <c r="C98" i="4"/>
  <c r="M7" i="23"/>
  <c r="B96" i="10"/>
  <c r="B97" i="10"/>
  <c r="C98" i="10"/>
</calcChain>
</file>

<file path=xl/sharedStrings.xml><?xml version="1.0" encoding="utf-8"?>
<sst xmlns="http://schemas.openxmlformats.org/spreadsheetml/2006/main" count="6039" uniqueCount="452">
  <si>
    <t>Nº do Processo:</t>
  </si>
  <si>
    <t>Licitação Nº</t>
  </si>
  <si>
    <t>Dia ________/________/________ às _____:______ horas</t>
  </si>
  <si>
    <t>A</t>
  </si>
  <si>
    <t>B</t>
  </si>
  <si>
    <t>C</t>
  </si>
  <si>
    <t>D</t>
  </si>
  <si>
    <t>Data de Apresentação da Proposta (dia/mês/ano):</t>
  </si>
  <si>
    <t>Município/UF:</t>
  </si>
  <si>
    <t>Número de Meses de execução Contratual:</t>
  </si>
  <si>
    <t>Ano do Acordo, Convenção ou Dissídio Coletivo:</t>
  </si>
  <si>
    <t>PLANILHA DE CUSTOS E FORMAÇÃO DE PREÇOS - APRESENTAÇÃO</t>
  </si>
  <si>
    <t>IDENTIFICAÇÃO DO SERVIÇO</t>
  </si>
  <si>
    <t>Tipo de serviço</t>
  </si>
  <si>
    <t>Unidade de Medida</t>
  </si>
  <si>
    <t>Quantidade a contratar</t>
  </si>
  <si>
    <t>Dados para composição dos custos referentes a mão de obra</t>
  </si>
  <si>
    <t>Tipo de Serviço:</t>
  </si>
  <si>
    <t>Classificação Brasileira de Ocupações (CBO)</t>
  </si>
  <si>
    <t>Salário Normativo da Categoria Profissional</t>
  </si>
  <si>
    <t xml:space="preserve">Data-Base da Categoria (dia/mês/ano) </t>
  </si>
  <si>
    <t xml:space="preserve">Categoria Profissional </t>
  </si>
  <si>
    <t>Módulo 1 - Composição da Remuneração</t>
  </si>
  <si>
    <t>Composição da Remuneração</t>
  </si>
  <si>
    <t>Valor (R$)</t>
  </si>
  <si>
    <t>E</t>
  </si>
  <si>
    <t>F</t>
  </si>
  <si>
    <t>G</t>
  </si>
  <si>
    <t>H</t>
  </si>
  <si>
    <t>TOTAL</t>
  </si>
  <si>
    <t>Salário-Base</t>
  </si>
  <si>
    <t>Adicional de Periculosidade</t>
  </si>
  <si>
    <t>Adicional de Insalubridade</t>
  </si>
  <si>
    <t>Adicional Noturno</t>
  </si>
  <si>
    <t>Adicional de Hora Noturna Reduzida</t>
  </si>
  <si>
    <t>Adicional de Hora Extra no Feriado Trabalhado</t>
  </si>
  <si>
    <t>Outros (especificar)</t>
  </si>
  <si>
    <t>Módulo 2 - Encargos e Benefícios Anuais, Mensais e Diários</t>
  </si>
  <si>
    <t>Sub-Módulo 2.1 - 13º Salário, Férias e Adicional de Férias</t>
  </si>
  <si>
    <t>2.1</t>
  </si>
  <si>
    <t>13º Salário, Férias e Adicional de Férias</t>
  </si>
  <si>
    <t>B.1</t>
  </si>
  <si>
    <t>B.2</t>
  </si>
  <si>
    <t>Férias e Adicional de Férias</t>
  </si>
  <si>
    <t>Adicional de Férias</t>
  </si>
  <si>
    <t xml:space="preserve">Férias </t>
  </si>
  <si>
    <t>13º Salário</t>
  </si>
  <si>
    <t>Sub-Módulo 2.2 - Encargos Previdenciários (GPS), Fundo de Garantia por Tempo de Serviço (FGTS) e outras contribuições</t>
  </si>
  <si>
    <t>2.2</t>
  </si>
  <si>
    <t>GPS, FGTS e outras contribuições</t>
  </si>
  <si>
    <t>%</t>
  </si>
  <si>
    <t>INSS</t>
  </si>
  <si>
    <t>Salário Educação</t>
  </si>
  <si>
    <t>SESC ou SESI</t>
  </si>
  <si>
    <t>SENAI - SENAC</t>
  </si>
  <si>
    <t>SEBRAE</t>
  </si>
  <si>
    <t>INCRA</t>
  </si>
  <si>
    <t>FGTS</t>
  </si>
  <si>
    <t>SAT (Risco ambiental do trabalho)</t>
  </si>
  <si>
    <t>Sub-Módulo 2.3 - Benefícios Mensais e Diários</t>
  </si>
  <si>
    <t>2.3</t>
  </si>
  <si>
    <t>Benefícios Mensais e Diários</t>
  </si>
  <si>
    <t>Transporte</t>
  </si>
  <si>
    <t>Auxílio-Refeição/Alimentação</t>
  </si>
  <si>
    <t>I</t>
  </si>
  <si>
    <t>Adicional de Liderança / Gratificação de Encarregado</t>
  </si>
  <si>
    <t>Assistência Médica e Familiar</t>
  </si>
  <si>
    <t>Quadro Resumo do Módulo 2 - Encargos e Benefícios anuais, mensais e diários</t>
  </si>
  <si>
    <t>Encargos e Benefícios Anuais, Mensais e Diários</t>
  </si>
  <si>
    <t>Módulo 3 - Provisão para Rescisão</t>
  </si>
  <si>
    <t>Provisão para Rescisão</t>
  </si>
  <si>
    <t>Aviso-Prévio Trabalhado</t>
  </si>
  <si>
    <t>Aviso-Prévio Indenizado</t>
  </si>
  <si>
    <t>Incidência do FGTS sobre o Aviso-Prévio Indenizado</t>
  </si>
  <si>
    <t>Incidência dos encargos do módulo 2.2 sobre o Aviso-Prévio Trabalhado</t>
  </si>
  <si>
    <t>Multa sobre FGTS e contribuição social sobre o Aviso Prévio Indenizado</t>
  </si>
  <si>
    <t>Multa do FGTS e contribuição social sobre o Aviso-Prévio Trabalhado</t>
  </si>
  <si>
    <t>Reserva Mensal para o Pagamento de Encargos Trabalhistas</t>
  </si>
  <si>
    <t>Incidência do Sub-Modulo 2.2 sobre Férias</t>
  </si>
  <si>
    <t>Incidência do Sub-Modulo 2.2 sobre 13º Salário</t>
  </si>
  <si>
    <t>Incidência do Sub-Modulo 2.2 sobre Adicional de Férias</t>
  </si>
  <si>
    <t>F.1</t>
  </si>
  <si>
    <t>F.2</t>
  </si>
  <si>
    <t>F.3</t>
  </si>
  <si>
    <t>Módulo 4 - Custo de Reposição do Profissional Ausente</t>
  </si>
  <si>
    <t>4.1</t>
  </si>
  <si>
    <t>Ausências Legais</t>
  </si>
  <si>
    <t>Sub-Módulo 4.1 - Ausências Legais</t>
  </si>
  <si>
    <t>Férias</t>
  </si>
  <si>
    <t>Licença Paternidade</t>
  </si>
  <si>
    <t xml:space="preserve">Ausência por acidente de trabalho </t>
  </si>
  <si>
    <t>4.2</t>
  </si>
  <si>
    <t>Afastamento Maternidade (120 dias)</t>
  </si>
  <si>
    <t>Ausência por Doença</t>
  </si>
  <si>
    <t xml:space="preserve">Incidência dos encargos do módulo 2.2 sobre o Módulo </t>
  </si>
  <si>
    <t>Intervalo Intrajornada (caso o empregado trabalhe no periodo destinado)</t>
  </si>
  <si>
    <t>Férias pagas ao Substituto pelos 120 dias de Reposição</t>
  </si>
  <si>
    <t>Incidência dos encargos do módulo 2.2 sobre a Remuneração e o 13 salário proporcionais aos 120 dias de Reposição</t>
  </si>
  <si>
    <t>Incidência dos encargos do módulo 2.2 sobre as Férias pagas ao Subistituto pelos 120 dias de Reposição</t>
  </si>
  <si>
    <t>4.1.1</t>
  </si>
  <si>
    <t>Intervalo Intrajornada</t>
  </si>
  <si>
    <t>Custo de Referencia</t>
  </si>
  <si>
    <t>Divisor de Horas no mês</t>
  </si>
  <si>
    <t>Custo da Hora</t>
  </si>
  <si>
    <t>Total de Horas Mensais cobertas por posto</t>
  </si>
  <si>
    <t>Percentual Aplicado - CCT</t>
  </si>
  <si>
    <t>Intervado Intrajornada</t>
  </si>
  <si>
    <t>Memória de Cálculo Intervalo IntraJornada Trabalhado (Módulo 1)</t>
  </si>
  <si>
    <t>Memória de Cálculo Intervalo IntraJornada com cobertura (Módulo 4)</t>
  </si>
  <si>
    <t>Quadro-Resumo do Módulo 4 - Custo de Reposição do Profissional Ausente</t>
  </si>
  <si>
    <t>Total das Ausências Legais</t>
  </si>
  <si>
    <t xml:space="preserve">DIURNO ARMADO - UNIFORMES </t>
  </si>
  <si>
    <t>ITEM</t>
  </si>
  <si>
    <t>VIDA ÚTIL (MESES)</t>
  </si>
  <si>
    <t>ENTREGA SEMESTRAL AO EMPREGADO</t>
  </si>
  <si>
    <t>ENTREGA ANUAL AO EMPREGADO</t>
  </si>
  <si>
    <t>QTD POR POSTO (COMPOSTO POR 2 EMPREGADOS)</t>
  </si>
  <si>
    <t xml:space="preserve">Valor por posto </t>
  </si>
  <si>
    <t>CALÇA</t>
  </si>
  <si>
    <t>CAMISA MANGA COMPRIDA</t>
  </si>
  <si>
    <t>CAMISA DE MANGA</t>
  </si>
  <si>
    <t>CINTO DE NYLON</t>
  </si>
  <si>
    <t>JAQUETA DE FRIO OU JAPONA</t>
  </si>
  <si>
    <t>CAPA DE NYLON</t>
  </si>
  <si>
    <t>QUEPE/BONÉ</t>
  </si>
  <si>
    <t>CRACHÁ DE IDENTIFICAÇÃO</t>
  </si>
  <si>
    <t xml:space="preserve">DIURNO ARMADO - EQUIPAMENTOS E COMPLEMENTOS </t>
  </si>
  <si>
    <t>CASSETETE (1)</t>
  </si>
  <si>
    <t>PORTA CASSETETE (1)</t>
  </si>
  <si>
    <t>APITO</t>
  </si>
  <si>
    <t>CORDÃO DE APITO</t>
  </si>
  <si>
    <t>RÁDIO COMUNICADOR (1)</t>
  </si>
  <si>
    <t>REVÓLVER CALIBRE 38 (2)</t>
  </si>
  <si>
    <t>CINTURÃO PARA REVÓLVER (2)</t>
  </si>
  <si>
    <t>COLDRE (2)</t>
  </si>
  <si>
    <t>MUNIÇÃO CALIBRE 38 (2)</t>
  </si>
  <si>
    <t>CAPA PARA COLETE BALÍSTICO</t>
  </si>
  <si>
    <t xml:space="preserve">NOTURNO ARMADO - UNIFORMES </t>
  </si>
  <si>
    <t>VALOR UNIT</t>
  </si>
  <si>
    <t xml:space="preserve">NOTURNO ARMADO - EQUIPAMENTOS E COMPLEMENTOS </t>
  </si>
  <si>
    <t>LANTERNA RECARREGÁVEL 15 LEDS</t>
  </si>
  <si>
    <t>COLETE À PROVA DE BALAS</t>
  </si>
  <si>
    <t>QTD POR  EMPREGADO</t>
  </si>
  <si>
    <t>CASSETETE</t>
  </si>
  <si>
    <t xml:space="preserve">PORTA CASSETETE </t>
  </si>
  <si>
    <t xml:space="preserve">RÁDIO COMUNICADOR </t>
  </si>
  <si>
    <t xml:space="preserve">REVÓLVER CALIBRE 38 </t>
  </si>
  <si>
    <t>CINTURÃO PARA REVÓLVER</t>
  </si>
  <si>
    <t xml:space="preserve">COLDRE </t>
  </si>
  <si>
    <t xml:space="preserve">MUNIÇÃO CALIBRE 38 </t>
  </si>
  <si>
    <t>VALOR MENSAL POR EMPREGADO</t>
  </si>
  <si>
    <t>Módulo 5 - Insumos Diversos</t>
  </si>
  <si>
    <t>Insumos Diversos</t>
  </si>
  <si>
    <t>Uniformes</t>
  </si>
  <si>
    <t>Materiais</t>
  </si>
  <si>
    <t>Equipamentos</t>
  </si>
  <si>
    <t>Módulo 6 - Custos Indiretos, Tributos e Lucro</t>
  </si>
  <si>
    <t>Custos Indiretos, Tributos e Lucro</t>
  </si>
  <si>
    <t>Custos Indiretos</t>
  </si>
  <si>
    <t>Lucro</t>
  </si>
  <si>
    <t>Tributos</t>
  </si>
  <si>
    <t>C.1</t>
  </si>
  <si>
    <t>Tributos Federais</t>
  </si>
  <si>
    <t>C.1.1</t>
  </si>
  <si>
    <t>C.1.2</t>
  </si>
  <si>
    <t>PIS</t>
  </si>
  <si>
    <t>COFINS</t>
  </si>
  <si>
    <t>C.2</t>
  </si>
  <si>
    <t>Tributos Estaduais</t>
  </si>
  <si>
    <t>ICMS</t>
  </si>
  <si>
    <t>C.2.1</t>
  </si>
  <si>
    <t>C.3</t>
  </si>
  <si>
    <t>Tributos Municipais</t>
  </si>
  <si>
    <t>C.3.1</t>
  </si>
  <si>
    <t>ISS</t>
  </si>
  <si>
    <t>C.4</t>
  </si>
  <si>
    <t>Outros Tributos (especificar)</t>
  </si>
  <si>
    <t>A.1</t>
  </si>
  <si>
    <t>Crédito PIS/COFINS</t>
  </si>
  <si>
    <t>D.1</t>
  </si>
  <si>
    <t>E.1</t>
  </si>
  <si>
    <t>Valor líquido mensal dos serviços (sem os tributos)</t>
  </si>
  <si>
    <t>Valor mensal dos serviços (incluindo os tributos) - Base para o cálculo dos tributos</t>
  </si>
  <si>
    <t>QUADRO RESUMO DO CUSTO POR EMPREGADO</t>
  </si>
  <si>
    <t xml:space="preserve">B </t>
  </si>
  <si>
    <t>MÓDULO 1 - Composição da Remuneração</t>
  </si>
  <si>
    <t>MÓDULO 2 - Encargos e Benefícios Anuais, Mensais e Diários</t>
  </si>
  <si>
    <t>MÓDULO 3 - Provisão para Rescisão</t>
  </si>
  <si>
    <t>MÓDULO 4 - Custo da Reposição do Profissional Ausente</t>
  </si>
  <si>
    <t>MÓDULO 5 - Insumos Diversos</t>
  </si>
  <si>
    <t>MÓDULO 6 - Custos indiretos, Lucro e Tributos</t>
  </si>
  <si>
    <t>VALOR TOTAL POR EMPREGADO</t>
  </si>
  <si>
    <t>A + B + C + D + E</t>
  </si>
  <si>
    <t>Custo de Referência</t>
  </si>
  <si>
    <t>J</t>
  </si>
  <si>
    <t>DSR sobre a Hora Extra no Feriado Trabalhado</t>
  </si>
  <si>
    <t>K</t>
  </si>
  <si>
    <t>Número de Feriados</t>
  </si>
  <si>
    <t xml:space="preserve">Número de Horas Trabalhadas </t>
  </si>
  <si>
    <t>Total Anual de Horas Trabalhadas</t>
  </si>
  <si>
    <t>% de Funcionários Trabalhando durante o feriado</t>
  </si>
  <si>
    <t>% de aumento sobre a hora Trabalhada</t>
  </si>
  <si>
    <t xml:space="preserve">Número de meses </t>
  </si>
  <si>
    <t>Total do Adicional de Hora Extra no Feriado Trabalhado</t>
  </si>
  <si>
    <t xml:space="preserve">Total de Dias do Ano </t>
  </si>
  <si>
    <t>Dias ano sem Feriado e Domingo</t>
  </si>
  <si>
    <t>Número de Meses</t>
  </si>
  <si>
    <t>Sub-Total ((Total de Horas Anuais/Nº de Meses)x Funcionarios Trabalhando durante o feriado)/Dias no ano sem feriados e domingos)</t>
  </si>
  <si>
    <t>Total do DSR sobre a Hor Extra no Feriado Trabalhado</t>
  </si>
  <si>
    <t>Memória de Cálculo do Adicional de Hora Extra no Feriado Trabalhado (Módulo 1)</t>
  </si>
  <si>
    <t>Memória de Cálculo da DSR sobre a Hora Extra no Feriado Trabalhado (Módulo 1)</t>
  </si>
  <si>
    <t>PLANILHA DE CUSTOS E FORMAÇÃO DE PREÇOS - MÃO DE OBRA</t>
  </si>
  <si>
    <t>Memória de Cálculo Adicional Noturno (Módulo 1)</t>
  </si>
  <si>
    <t xml:space="preserve">% de Funcionários Trabalhando </t>
  </si>
  <si>
    <t>Salário Base</t>
  </si>
  <si>
    <t>% Adicional Noturno</t>
  </si>
  <si>
    <t xml:space="preserve">Valor da Hora Noturna com Adicional </t>
  </si>
  <si>
    <t>Número de Horas Trabalhadas no mês</t>
  </si>
  <si>
    <t>Valor do Adicional Noturno</t>
  </si>
  <si>
    <t>Memória de Cálculo Adicional de Hora Noturna Reduzida (Módulo 1)</t>
  </si>
  <si>
    <t xml:space="preserve">Número de dias trabalhado por funcionário no mês </t>
  </si>
  <si>
    <t xml:space="preserve">Numero de horas noturnas trabalhadas no mês </t>
  </si>
  <si>
    <t>Hora Noturna Equivalente (em minutos)</t>
  </si>
  <si>
    <t>Hora Diurna (em minutos)</t>
  </si>
  <si>
    <t xml:space="preserve">Coeficente de horas </t>
  </si>
  <si>
    <t>Hora Noturna Mensal Ajustada</t>
  </si>
  <si>
    <t>Hora Noturna Mensal Ajustada - Hora noturna trabalhada no mês</t>
  </si>
  <si>
    <t>Valor da Hora Noturna Reduzida</t>
  </si>
  <si>
    <t>Total de Dias do Ano</t>
  </si>
  <si>
    <t>Total de Horas Mensais cobertas por posto - (Uma hora por dia)</t>
  </si>
  <si>
    <t>Total de Dias Trabalhados no Mês por empregado</t>
  </si>
  <si>
    <t>DSR sobre o Adicional Noturno</t>
  </si>
  <si>
    <t>Memória de Cálculo da DSR sobre o Adicional Noturno (Módulo 1)</t>
  </si>
  <si>
    <t>Memória de Cálculo Vale Transporte (Módulo 2)</t>
  </si>
  <si>
    <t>Número de Vales Transportes / mês</t>
  </si>
  <si>
    <t>Valor da Tarifa Modal</t>
  </si>
  <si>
    <t>Desconto legal sobre o valor do salário</t>
  </si>
  <si>
    <t>Valor do Vale Transporte</t>
  </si>
  <si>
    <t>Memória de Cálculo Vale Alimentação (Módulo 2)</t>
  </si>
  <si>
    <t>Valor do Vale Alimentação / Refeição</t>
  </si>
  <si>
    <t>Memória de Cálculo Aviso Prévio Indenizado (Módulo 3)</t>
  </si>
  <si>
    <t>Total da Remuneração (Módulo 1)</t>
  </si>
  <si>
    <t>Total da Remuneração</t>
  </si>
  <si>
    <t>Número de Meses do Ano</t>
  </si>
  <si>
    <t>Porcentagem de dispensa sem justa causa com Aviso Prévio Indenizado</t>
  </si>
  <si>
    <t>Valor do Aviso Prévio Indenizado</t>
  </si>
  <si>
    <t>Memória de Cálculo Multa FGTS e Contribuição Social sobre o Aviso Prévio Indenizado (Módulo 3)</t>
  </si>
  <si>
    <t>Total de Remuneração</t>
  </si>
  <si>
    <t>Base de Cálculo</t>
  </si>
  <si>
    <t>Multa sobre FGTS</t>
  </si>
  <si>
    <t>Alíquiota mensal de Recolhimento do FGTS</t>
  </si>
  <si>
    <t>Porcentagem de dispensas sem justa Causa Com Aviso Prévio Indenizado</t>
  </si>
  <si>
    <t>Valor da Multa FGTS sobre Aviso Prévio Indenizado</t>
  </si>
  <si>
    <t>Multa sobre Contribuição Social</t>
  </si>
  <si>
    <t>Valor da Multa sobre Contribuição Social</t>
  </si>
  <si>
    <t xml:space="preserve">Valor da Multa FGTS e Contribuição Social sobre o Aviso Prévio Indenizado </t>
  </si>
  <si>
    <t>Memória de Cálculo Aviso Prévio Trabalhado (Módulo 3)</t>
  </si>
  <si>
    <t>Dias do Mês</t>
  </si>
  <si>
    <t>Número de dias de redução de jornada</t>
  </si>
  <si>
    <t>Memória de Cálculo Multa FGTS e Contribuição Social sobre o Aviso Prévio Trabalhado (Módulo 3)</t>
  </si>
  <si>
    <t>Porcentagem de dispensas sem justa Causa Com Aviso Prévio Trabalhado</t>
  </si>
  <si>
    <t>Memória de Cálculo Ausencias Legais (Módulo 4)</t>
  </si>
  <si>
    <t>Memória de Cálculo Férias (Módulo 4)</t>
  </si>
  <si>
    <t xml:space="preserve">Total de Remuneração </t>
  </si>
  <si>
    <t>Meses do Ano</t>
  </si>
  <si>
    <t xml:space="preserve">Média de Ausencias por Ano </t>
  </si>
  <si>
    <t xml:space="preserve">Valor das Ausencias Legais </t>
  </si>
  <si>
    <t xml:space="preserve">Média de Dias de Licença por ano </t>
  </si>
  <si>
    <t>Porcentagem de incidência de ocorrência da Licença-Paternidade</t>
  </si>
  <si>
    <t>Memória de Cálculo Licença-Paternidade (Módulo 4)</t>
  </si>
  <si>
    <t>Porcentagem de mão de obra masculina contratada</t>
  </si>
  <si>
    <t xml:space="preserve">Valor da Licença-Paternidade </t>
  </si>
  <si>
    <t>Memória de Cálculo Ausencia por Acidente de Trabalho (Módulo 4)</t>
  </si>
  <si>
    <t>Média de dias pagos pela empresa</t>
  </si>
  <si>
    <t xml:space="preserve">Porcentagem de ocorrência de acidentes de trabalho </t>
  </si>
  <si>
    <t>Memória de Cálculo Ausencia por Doença (Módulo 4)</t>
  </si>
  <si>
    <t>Porcentagem de ocorrência por doença</t>
  </si>
  <si>
    <t>Memória de Cálculo Afastamento Maternidade (Módulo 4)</t>
  </si>
  <si>
    <t xml:space="preserve">Meses de Afastamento </t>
  </si>
  <si>
    <t>Porcentagem de ocorrência do Afastamento Maternidade</t>
  </si>
  <si>
    <t>Porcentagem de mão de obra feminina contratada</t>
  </si>
  <si>
    <t xml:space="preserve">Terço Constitucional </t>
  </si>
  <si>
    <t>Férias pagas ao Substituto pelos 120 dias de reposição</t>
  </si>
  <si>
    <t>Valor da Licença-Maternidade - Férias do Substituto</t>
  </si>
  <si>
    <t>Incidência dos encargos (módulo 2.2) - proporcionais 120 dias de Reposição</t>
  </si>
  <si>
    <t xml:space="preserve">Incidência dos encargos (módulo 2.2) </t>
  </si>
  <si>
    <t>Valor da Licença-Maternidade - Incidência de Encargos</t>
  </si>
  <si>
    <r>
      <t>Afastamento Maternidade (acima de 120 dias)</t>
    </r>
    <r>
      <rPr>
        <vertAlign val="superscript"/>
        <sz val="9"/>
        <color theme="1"/>
        <rFont val="Spranq eco sans"/>
        <family val="2"/>
      </rPr>
      <t xml:space="preserve"> (1)</t>
    </r>
  </si>
  <si>
    <r>
      <t xml:space="preserve">Intervalo de repouso e alimentação (somente se houver cobertura do profissional no período de intervalo para repouso e alimentação) </t>
    </r>
    <r>
      <rPr>
        <vertAlign val="superscript"/>
        <sz val="10"/>
        <color theme="1"/>
        <rFont val="Spranq eco sans"/>
        <family val="2"/>
      </rPr>
      <t>(2)</t>
    </r>
  </si>
  <si>
    <r>
      <rPr>
        <vertAlign val="superscript"/>
        <sz val="10"/>
        <color theme="1"/>
        <rFont val="Spranq eco sans"/>
        <family val="2"/>
      </rPr>
      <t xml:space="preserve">(1) </t>
    </r>
    <r>
      <rPr>
        <sz val="10"/>
        <color theme="1"/>
        <rFont val="Spranq eco sans"/>
        <family val="2"/>
      </rPr>
      <t>Somente preencher caso, por força de cadastro no Ministério do Trabalho, no programa "Empresa Cidadã", a licença maternidade for superior à 120 dias , considerar aqui somento o custo que superar o período de 120 dias.</t>
    </r>
  </si>
  <si>
    <r>
      <rPr>
        <vertAlign val="superscript"/>
        <sz val="10"/>
        <color theme="1"/>
        <rFont val="Spranq eco sans"/>
        <family val="2"/>
      </rPr>
      <t>(2)</t>
    </r>
    <r>
      <rPr>
        <sz val="10"/>
        <color theme="1"/>
        <rFont val="Spranq eco sans"/>
        <family val="2"/>
      </rPr>
      <t xml:space="preserve"> Caso o empregado trabalhe durante o intervalo para repouso e alimentação, o valor deverá ser aportado na alínea "H" do Módulo 1 (Composição da Remuneração) com os devidos reflexos legais (CLT e CCT)</t>
    </r>
  </si>
  <si>
    <t>(2) Para efeito de estimativa de cálculo, adotamos o percentual de 60% (30% para cada empregado) para utilização de armas, munições, coldres e cinturões conforme a legislação vigente que prevê que o número de armas em poder das empresas de segurança será o equivalente de 50% do efetivo de vigilantes, acrescida de reserva de 20% sobre o número resultante, em conjunto com o período de uso de 24 horas diárias</t>
  </si>
  <si>
    <t>(1) estimou-se a utilização de rádios, cassetetes , porta cassetetes e outros  no período de uso de 24 horas diárias.  Desta
forma para cada posto foi considerado a fração de sua utilização em 50% (25% para cada empregado)</t>
  </si>
  <si>
    <t>Outros (Seguro de Vida / Invalidez / Auxílio Funeral)</t>
  </si>
  <si>
    <t>Porcentagem de dispensa sem justa causa com Aviso Prévio Trabalhado</t>
  </si>
  <si>
    <t>5173-30</t>
  </si>
  <si>
    <t xml:space="preserve">Vigilantes e Empregados em Empresas de Segurança e Vigilância </t>
  </si>
  <si>
    <t>1.1</t>
  </si>
  <si>
    <t xml:space="preserve">Vigilância desarmada de 12x36 horas noturnas de Segunda-Feira a Domingo </t>
  </si>
  <si>
    <t xml:space="preserve">Vigilância desarmada de 12x36 horas diurnas de Segunda-Feira a Domingo </t>
  </si>
  <si>
    <t xml:space="preserve"> Vigilância armada de 12x36 horas noturnas de Segunda-Feira a Domingo </t>
  </si>
  <si>
    <t xml:space="preserve"> Vigilância armada de 12x36 horas diurnas de Segunda-Feira a Domingo </t>
  </si>
  <si>
    <t>Lote 1</t>
  </si>
  <si>
    <t>Item 1</t>
  </si>
  <si>
    <t>Item 2</t>
  </si>
  <si>
    <t>Item 3</t>
  </si>
  <si>
    <t>Item 4</t>
  </si>
  <si>
    <t>Posto com 2 funcionários</t>
  </si>
  <si>
    <t>Posto de Localização</t>
  </si>
  <si>
    <t>Escala</t>
  </si>
  <si>
    <t>Turno/Horário do posto</t>
  </si>
  <si>
    <t>Dias da Semana</t>
  </si>
  <si>
    <t>Nº estimado de empregados</t>
  </si>
  <si>
    <t>DESARMADA</t>
  </si>
  <si>
    <t>12 X 36h</t>
  </si>
  <si>
    <t>Diurno/12h</t>
  </si>
  <si>
    <t xml:space="preserve">Diariamente Seg / Dom </t>
  </si>
  <si>
    <t>Noturno/12h</t>
  </si>
  <si>
    <t>ARMADA</t>
  </si>
  <si>
    <t>Qtd. de postos</t>
  </si>
  <si>
    <t>Postos</t>
  </si>
  <si>
    <t>Pessoas</t>
  </si>
  <si>
    <t xml:space="preserve">DISCRIMINAÇÃO DOS SERVIÇOS </t>
  </si>
  <si>
    <t>Valor Anual da Unidade</t>
  </si>
  <si>
    <t>Valor Unitário Mensal por Empregado</t>
  </si>
  <si>
    <t>Valor Anual do Item</t>
  </si>
  <si>
    <t>Valor Mensal do Item</t>
  </si>
  <si>
    <t xml:space="preserve">DIURNO DESARMADO - UNIFORMES </t>
  </si>
  <si>
    <t xml:space="preserve">DIURNO DESARMADO - EQUIPAMENTOS E COMPLEMENTOS </t>
  </si>
  <si>
    <t xml:space="preserve">NOTURNO DESARMADO - UNIFORMES </t>
  </si>
  <si>
    <t xml:space="preserve">NOTURNO DESARMADO - EQUIPAMENTOS E COMPLEMENTOS </t>
  </si>
  <si>
    <t>(1) estimou-se a utilização de rádios no período de uso de 24 horas diárias.  Desta
forma para cada posto foi considerado a fração de sua utilização em 50% (25% para cada empregado)</t>
  </si>
  <si>
    <t>MEMORIAL DE CÁLCULO  - EMPREGADO 12/36 - DIURNO DESARMADO</t>
  </si>
  <si>
    <t>MEMORIAL DE CÁLCULO  - EMPREGADO 12/36 - NOTURNO ARMADO</t>
  </si>
  <si>
    <t>MEMORIAL DE CÁLCULO  - EMPREGADO 12/36 - DIURNO ARMADO</t>
  </si>
  <si>
    <t>MEMORIAL DE CÁLCULO  - EMPREGADO 12/36 - NOTURNO DESARMADO</t>
  </si>
  <si>
    <t>COTURNO EM LONA E ANTIDERRAPANTE</t>
  </si>
  <si>
    <t>Item 5</t>
  </si>
  <si>
    <t>Item 6</t>
  </si>
  <si>
    <t>Posto com 1 funcionário</t>
  </si>
  <si>
    <t>Diariamente Seg / Sex</t>
  </si>
  <si>
    <t>QTD POR EMPREGADO</t>
  </si>
  <si>
    <t>L</t>
  </si>
  <si>
    <t>Memória de Cálculo do Adicional de Hora Extra (Módulo 1)</t>
  </si>
  <si>
    <t>Adicional de Hora Extra</t>
  </si>
  <si>
    <t>Divisor de Horas no mês - CCT</t>
  </si>
  <si>
    <t>Número de Horas trabalhadas / dia</t>
  </si>
  <si>
    <t xml:space="preserve">Máximo de Horas mensais sem adicional </t>
  </si>
  <si>
    <t>Total de Horas trabalhadas no mês</t>
  </si>
  <si>
    <t>Total de Horas Extras à serem pagas</t>
  </si>
  <si>
    <t>Valor Total do Adicional de Hora Extra</t>
  </si>
  <si>
    <t>Percentual Aplicado para acréscimo - CCT</t>
  </si>
  <si>
    <t>Valor de 1 (uma ) da Hora Extra</t>
  </si>
  <si>
    <t>Vigilância Noturna Desarmada - dom a dom</t>
  </si>
  <si>
    <t>Vigilância Diurno Desarmada - dom a dom</t>
  </si>
  <si>
    <t>Vigilância Noturna Armada - dom a dom</t>
  </si>
  <si>
    <t>Vigilância Diurno Armada - dom a dom</t>
  </si>
  <si>
    <t>Vigilância Diurno Armada - 12h Seg a Sex</t>
  </si>
  <si>
    <t>Considerando que o valor pago ao substituto durante as férias do empregado já consta na remuneração (Módulo 1) e que o valor pago ao empregado para fazer frente ao custo de suas férias acrescidas do terço constitucional já foram apuradas na letra B  do sub-módulo 2.1, não existe custo a ser apontado nesta rubrica.</t>
  </si>
  <si>
    <t>MEMORIAL DE CÁLCULO  - EMPREGADO 12h seg a sex - DIURNO ARMADO</t>
  </si>
  <si>
    <t>Vigilância Diurno Desarmada - 12h Seg a Sex</t>
  </si>
  <si>
    <t>MEMORIAL DE CÁLCULO  - EMPREGADO 12h seg a sex - DIURNO DESARMADO</t>
  </si>
  <si>
    <t xml:space="preserve">Alíquota PIS/COFINS leis 10.634/2002 e 10.833/2003 </t>
  </si>
  <si>
    <t xml:space="preserve">5 x 2 - 12h e 44h seg a sex DIURNO DESARMADO - UNIFORMES </t>
  </si>
  <si>
    <t xml:space="preserve">5x2 - 12h e 44h seg a sex DIURNO ARMADO - UNIFORMES </t>
  </si>
  <si>
    <t>Vigilância Diurno Armada - 44h Seg a Sex</t>
  </si>
  <si>
    <t xml:space="preserve">Desconto legal </t>
  </si>
  <si>
    <t>Desconto legal</t>
  </si>
  <si>
    <t>MEMORIAL DE CÁLCULO  - EMPREGADO 44h seg a sex - DIURNO ARMADO</t>
  </si>
  <si>
    <t>Valor do Aviso Prévio Trabalhado</t>
  </si>
  <si>
    <t>Valor da Ausencia por Acidente de Trabalho</t>
  </si>
  <si>
    <t>Valor da Ausencia por Doença</t>
  </si>
  <si>
    <t>Vigilância Diurno Desarmada - 44h Seg a Sex</t>
  </si>
  <si>
    <t xml:space="preserve"> Rio de Janeiro / RJ</t>
  </si>
  <si>
    <t>44h</t>
  </si>
  <si>
    <t>Diurno/8:48h</t>
  </si>
  <si>
    <t xml:space="preserve">5 X 2 </t>
  </si>
  <si>
    <t xml:space="preserve">Vigilância armada de 44h  (8:48 horas) diurnas de Segunda-Feira a Sexta </t>
  </si>
  <si>
    <t>Item 7</t>
  </si>
  <si>
    <t xml:space="preserve">Vigilância desarmada de 44h  (8:48 horas) diurnas de Segunda-Feira a Sexta </t>
  </si>
  <si>
    <t>Item 8</t>
  </si>
  <si>
    <t xml:space="preserve">Vigilância armada de 12x36 horas noturnas de Segunda-Feira a Domingo </t>
  </si>
  <si>
    <t>Valor Unitário Mensal por Posto</t>
  </si>
  <si>
    <t xml:space="preserve">Valor Mensal </t>
  </si>
  <si>
    <t>Valor Anual</t>
  </si>
  <si>
    <t>Valor da Multa FGTS e Contribuição Social sobre o Aviso Prévio Trabalhado</t>
  </si>
  <si>
    <t>CENTRO BRASILEIRO DE ALTOS ESTUDOS - CBAE</t>
  </si>
  <si>
    <t>COLÉGIO DE APLICAÇÃO - CAP</t>
  </si>
  <si>
    <t>MATERNIDADE ESCOLA - ME</t>
  </si>
  <si>
    <t>UNIDADES ISOLADAS  MUNICÍPIO DO RIO DE JANEIRO - RJ - LOTE I</t>
  </si>
  <si>
    <t>MUSEU NACIONAL - MN</t>
  </si>
  <si>
    <t>HORTO BOTÂNICO - HB</t>
  </si>
  <si>
    <t>UNIDADES ISOLADAS  MUNICÍPIO DO RIO DE JANEIRO - RJ - LOTE III</t>
  </si>
  <si>
    <t>ESCOLA DE ENFERMAGEM ANNA NERY - EEAN</t>
  </si>
  <si>
    <t>ESCOLA DE MÚSICA - EM</t>
  </si>
  <si>
    <t>FACULDADE NACIONAL DE DIREITO - FND</t>
  </si>
  <si>
    <t>HOSPITAL ESCOLA SÃO FRANCISCO DE ASSIS - HESFA</t>
  </si>
  <si>
    <t>INSTITUTO DE FILOSOFIA E CIÊNCIAS SOCIAIS - IFCS</t>
  </si>
  <si>
    <t>INSTITUTO DE GINECOLOGIA - GINECO</t>
  </si>
  <si>
    <t>OBSERVATÓRIO DO VALONGO - OV</t>
  </si>
  <si>
    <t xml:space="preserve">POLO DE XERÉM </t>
  </si>
  <si>
    <t>POLO DE SANTA CRUZ DA SERRA - SCS</t>
  </si>
  <si>
    <t>UNIDADES ISOLADAS  MUNICÍPIO DE DUQUE DE CAXIAS - RJ - LOTE IV</t>
  </si>
  <si>
    <t>Ajuda de Custo Sindicato Laboral - clausula Décima da CCT</t>
  </si>
  <si>
    <t>Número de Horas Noturnas Trabalhadas ( 22:00 às 05:00 (7 horas) )</t>
  </si>
  <si>
    <t>Valor Estimado</t>
  </si>
  <si>
    <t>Total Mensal</t>
  </si>
  <si>
    <t>Total Anual</t>
  </si>
  <si>
    <t>CBO:</t>
  </si>
  <si>
    <t>Piso da Categoria:</t>
  </si>
  <si>
    <t>Item 9</t>
  </si>
  <si>
    <t>Item 10</t>
  </si>
  <si>
    <t>Item 11</t>
  </si>
  <si>
    <t>Lote 2</t>
  </si>
  <si>
    <t>Item 12</t>
  </si>
  <si>
    <t>Item 13</t>
  </si>
  <si>
    <t>Item 14</t>
  </si>
  <si>
    <t>Item 15</t>
  </si>
  <si>
    <t>Item 16</t>
  </si>
  <si>
    <t>Item 17</t>
  </si>
  <si>
    <t>Item 18</t>
  </si>
  <si>
    <t>Lote 3</t>
  </si>
  <si>
    <t>Lote 4</t>
  </si>
  <si>
    <t>Item 19</t>
  </si>
  <si>
    <t>Item 20</t>
  </si>
  <si>
    <t>Item 21</t>
  </si>
  <si>
    <t>Ajuda de Custo Sindicato Laboral - clausula Nona da CCT</t>
  </si>
  <si>
    <t>Tx de Custeio Patronal (clausula Quadragésima Terceira CCT)</t>
  </si>
  <si>
    <t>Número de Horas Noturnas Trabalhadas ( 22:00 às 05:00 (7 horas)</t>
  </si>
  <si>
    <t>MEMORIAL DE CÁLCULO  - EMPREGADO 12/36 - DIURNO ARMADO - DUQUE DE CAXIAS</t>
  </si>
  <si>
    <t>MEMORIAL DE CÁLCULO  - EMPREGADO 12/36 - NOTURNO ARMADO - DUQUE DE CAXIAS</t>
  </si>
  <si>
    <t>MEMORIAL DE CÁLCULO  - EMPREGADO 44h seg a sex - DUQUE DE CAXIAS DIURNO ARMADO</t>
  </si>
  <si>
    <t>TOTAL MENSAL</t>
  </si>
  <si>
    <t>TOTAL ANUAL</t>
  </si>
  <si>
    <t>23079.010151/2018-03</t>
  </si>
  <si>
    <t xml:space="preserve">VALOR UNIT </t>
  </si>
  <si>
    <t>Tx de Custeio Patronal (clausula Quinquagésima Sexta CCT)</t>
  </si>
  <si>
    <t xml:space="preserve"> Duque de Caxias / RJ</t>
  </si>
  <si>
    <t>ANEXO DA ESCOLA DE MÚSICA - EM</t>
  </si>
  <si>
    <r>
      <t xml:space="preserve">IMPORTANTE </t>
    </r>
    <r>
      <rPr>
        <b/>
        <sz val="14"/>
        <color rgb="FFFF0000"/>
        <rFont val="Arial"/>
        <family val="2"/>
      </rPr>
      <t>↓</t>
    </r>
  </si>
  <si>
    <t xml:space="preserve">Seu preenchimento é de responsabilidade da Empresa que enviará a cotação </t>
  </si>
  <si>
    <t>Os itens marcados com a cor</t>
  </si>
  <si>
    <t xml:space="preserve"> em geral são os itens que devem ser preenchidos pela Empresa</t>
  </si>
  <si>
    <t>Caso a Empresa não concorde com o modelo de calculo apresentado, este poderá ser alterado.</t>
  </si>
  <si>
    <t>Esta alteração deve sempre ser feita de forma aberta, auditável e de clara compreensão.</t>
  </si>
  <si>
    <t>A Empresa deverá sempre demonstrar seus cálculos na aba correspondente a memória de cálculo do cargo.</t>
  </si>
  <si>
    <t>Empresa:</t>
  </si>
  <si>
    <t>Data:</t>
  </si>
  <si>
    <t>Número de Horas Noturnas Trabalhadas ( 22:00 às 05:00 (7 horas))</t>
  </si>
  <si>
    <t xml:space="preserve">Vigilância desarmada de 5x2  (10 horas) diurnas de Segunda-Feira a Sexta </t>
  </si>
  <si>
    <t xml:space="preserve">Vigilância armada de 5x2  (10 horas) diurnas de Segunda-Feira a Sexta </t>
  </si>
  <si>
    <t>Diurno/10h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</si>
</sst>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&quot;R$&quot;\ #,##0.00;[Red]\-&quot;R$&quot;\ #,##0.00"/>
    <numFmt numFmtId="165" formatCode="_-&quot;R$&quot;\ * #,##0.00_-;\-&quot;R$&quot;\ * #,##0.00_-;_-&quot;R$&quot;\ * &quot;-&quot;??_-;_-@_-"/>
    <numFmt numFmtId="166" formatCode="_(&quot;R$ &quot;* #,##0.00_);_(&quot;R$ &quot;* \(#,##0.00\);_(&quot;R$ &quot;* &quot;-&quot;??_);_(@_)"/>
    <numFmt numFmtId="167" formatCode="_(* #,##0_);_(* \(#,##0\);_(* &quot;-&quot;??_);_(@_)"/>
    <numFmt numFmtId="168" formatCode="0_ ;\-0\ "/>
    <numFmt numFmtId="169" formatCode="#,##0_ ;\-#,##0\ "/>
    <numFmt numFmtId="170" formatCode="&quot;R$ &quot;#,##0.00_);\(&quot;R$ &quot;#,##0.00\)"/>
  </numFmts>
  <fonts count="33" x14ac:knownFonts="1">
    <font>
      <sz val="10"/>
      <color theme="1"/>
      <name val="Spranq eco sans"/>
      <family val="2"/>
    </font>
    <font>
      <sz val="10"/>
      <color theme="1"/>
      <name val="Spranq eco sans"/>
      <family val="2"/>
    </font>
    <font>
      <sz val="10"/>
      <color rgb="FFFF0000"/>
      <name val="Spranq eco sans"/>
      <family val="2"/>
    </font>
    <font>
      <b/>
      <sz val="10"/>
      <color theme="1"/>
      <name val="Spranq eco sans"/>
      <family val="2"/>
    </font>
    <font>
      <i/>
      <sz val="10"/>
      <color theme="1"/>
      <name val="Spranq eco sans"/>
      <family val="2"/>
    </font>
    <font>
      <sz val="8"/>
      <color theme="1"/>
      <name val="Spranq eco sans"/>
      <family val="2"/>
    </font>
    <font>
      <b/>
      <sz val="9"/>
      <color indexed="8"/>
      <name val="Spranq eco sans"/>
      <family val="2"/>
    </font>
    <font>
      <sz val="9"/>
      <color theme="1"/>
      <name val="Spranq eco sans"/>
      <family val="2"/>
    </font>
    <font>
      <b/>
      <sz val="9"/>
      <name val="Spranq eco sans"/>
      <family val="2"/>
    </font>
    <font>
      <sz val="9"/>
      <color indexed="8"/>
      <name val="Spranq eco sans"/>
      <family val="2"/>
    </font>
    <font>
      <b/>
      <sz val="10"/>
      <color theme="0"/>
      <name val="Spranq eco sans"/>
      <family val="2"/>
    </font>
    <font>
      <vertAlign val="superscript"/>
      <sz val="9"/>
      <color theme="1"/>
      <name val="Spranq eco sans"/>
      <family val="2"/>
    </font>
    <font>
      <vertAlign val="superscript"/>
      <sz val="10"/>
      <color theme="1"/>
      <name val="Spranq eco sans"/>
      <family val="2"/>
    </font>
    <font>
      <sz val="8"/>
      <name val="Spranq eco sans"/>
      <family val="2"/>
    </font>
    <font>
      <sz val="10"/>
      <name val="Spranq eco sans"/>
      <family val="2"/>
    </font>
    <font>
      <b/>
      <sz val="11"/>
      <color theme="0"/>
      <name val="Spranq eco sans"/>
      <family val="2"/>
    </font>
    <font>
      <b/>
      <sz val="9"/>
      <color theme="0"/>
      <name val="Spranq eco sans"/>
      <family val="2"/>
    </font>
    <font>
      <b/>
      <sz val="7"/>
      <color theme="0"/>
      <name val="Spranq eco sans"/>
      <family val="2"/>
    </font>
    <font>
      <sz val="11"/>
      <color theme="1"/>
      <name val="Calibri"/>
      <family val="2"/>
    </font>
    <font>
      <b/>
      <sz val="13"/>
      <color theme="1"/>
      <name val="Spranq eco sans"/>
      <family val="2"/>
    </font>
    <font>
      <sz val="7"/>
      <color theme="1"/>
      <name val="Spranq eco sans"/>
      <family val="2"/>
    </font>
    <font>
      <b/>
      <sz val="8"/>
      <color theme="0"/>
      <name val="Spranq eco sans"/>
      <family val="2"/>
    </font>
    <font>
      <b/>
      <sz val="10"/>
      <name val="Spranq eco sans"/>
      <family val="2"/>
    </font>
    <font>
      <b/>
      <i/>
      <sz val="10"/>
      <color theme="1"/>
      <name val="Spranq eco sans"/>
      <family val="2"/>
    </font>
    <font>
      <b/>
      <sz val="13"/>
      <name val="Spranq eco sans"/>
      <family val="2"/>
    </font>
    <font>
      <sz val="10"/>
      <color theme="0"/>
      <name val="Spranq eco sans"/>
      <family val="2"/>
    </font>
    <font>
      <b/>
      <sz val="14"/>
      <color rgb="FFFF0000"/>
      <name val="Spranq eco sans"/>
      <family val="2"/>
    </font>
    <font>
      <b/>
      <sz val="14"/>
      <color rgb="FFFF0000"/>
      <name val="Arial"/>
      <family val="2"/>
    </font>
    <font>
      <sz val="10"/>
      <color rgb="FF000000"/>
      <name val="Spranq eco sans"/>
      <family val="2"/>
    </font>
    <font>
      <sz val="11"/>
      <color theme="1"/>
      <name val="Spranq eco sans"/>
      <family val="2"/>
    </font>
    <font>
      <sz val="7"/>
      <color theme="0"/>
      <name val="Spranq eco sans"/>
      <family val="2"/>
    </font>
    <font>
      <sz val="9"/>
      <color theme="0"/>
      <name val="Spranq eco sans"/>
      <family val="2"/>
    </font>
    <font>
      <sz val="8"/>
      <color theme="0"/>
      <name val="Spranq eco sans"/>
      <family val="2"/>
    </font>
  </fonts>
  <fills count="3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1" tint="4.9989318521683403E-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77E57C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EB714B"/>
        <bgColor indexed="64"/>
      </patternFill>
    </fill>
    <fill>
      <patternFill patternType="solid">
        <fgColor rgb="FFFF33CC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-0.249977111117893"/>
        <bgColor indexed="64"/>
      </patternFill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165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607">
    <xf numFmtId="0" fontId="0" fillId="0" borderId="0" xfId="0"/>
    <xf numFmtId="0" fontId="0" fillId="0" borderId="0" xfId="0" applyAlignment="1">
      <alignment vertical="center"/>
    </xf>
    <xf numFmtId="0" fontId="0" fillId="0" borderId="1" xfId="0" applyBorder="1" applyAlignment="1">
      <alignment vertical="center"/>
    </xf>
    <xf numFmtId="0" fontId="3" fillId="0" borderId="0" xfId="0" applyFont="1" applyFill="1" applyBorder="1" applyAlignment="1"/>
    <xf numFmtId="0" fontId="0" fillId="2" borderId="1" xfId="0" applyFill="1" applyBorder="1" applyAlignment="1">
      <alignment horizontal="right"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/>
    <xf numFmtId="165" fontId="0" fillId="0" borderId="1" xfId="1" applyFont="1" applyBorder="1" applyAlignment="1">
      <alignment horizontal="right" vertical="center"/>
    </xf>
    <xf numFmtId="165" fontId="0" fillId="0" borderId="1" xfId="1" applyFont="1" applyBorder="1"/>
    <xf numFmtId="165" fontId="3" fillId="2" borderId="1" xfId="1" applyFont="1" applyFill="1" applyBorder="1"/>
    <xf numFmtId="0" fontId="3" fillId="2" borderId="2" xfId="0" applyFont="1" applyFill="1" applyBorder="1" applyAlignment="1">
      <alignment horizontal="left" vertical="center"/>
    </xf>
    <xf numFmtId="0" fontId="3" fillId="2" borderId="4" xfId="0" applyFont="1" applyFill="1" applyBorder="1" applyAlignment="1">
      <alignment horizontal="left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/>
    <xf numFmtId="0" fontId="3" fillId="2" borderId="1" xfId="0" applyFont="1" applyFill="1" applyBorder="1" applyAlignment="1">
      <alignment vertical="center"/>
    </xf>
    <xf numFmtId="10" fontId="0" fillId="0" borderId="0" xfId="2" applyNumberFormat="1" applyFont="1"/>
    <xf numFmtId="10" fontId="3" fillId="2" borderId="1" xfId="2" applyNumberFormat="1" applyFont="1" applyFill="1" applyBorder="1" applyAlignment="1">
      <alignment vertical="center"/>
    </xf>
    <xf numFmtId="10" fontId="0" fillId="0" borderId="1" xfId="2" applyNumberFormat="1" applyFont="1" applyBorder="1"/>
    <xf numFmtId="165" fontId="0" fillId="0" borderId="1" xfId="0" applyNumberFormat="1" applyBorder="1"/>
    <xf numFmtId="0" fontId="3" fillId="2" borderId="5" xfId="0" applyFont="1" applyFill="1" applyBorder="1"/>
    <xf numFmtId="0" fontId="3" fillId="2" borderId="5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vertical="center"/>
    </xf>
    <xf numFmtId="0" fontId="3" fillId="2" borderId="6" xfId="0" applyFont="1" applyFill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3" fillId="4" borderId="1" xfId="0" applyFont="1" applyFill="1" applyBorder="1"/>
    <xf numFmtId="0" fontId="0" fillId="0" borderId="1" xfId="0" applyFont="1" applyFill="1" applyBorder="1"/>
    <xf numFmtId="165" fontId="3" fillId="4" borderId="1" xfId="1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left" vertical="center"/>
    </xf>
    <xf numFmtId="10" fontId="0" fillId="0" borderId="1" xfId="2" applyNumberFormat="1" applyFont="1" applyFill="1" applyBorder="1"/>
    <xf numFmtId="0" fontId="0" fillId="0" borderId="1" xfId="0" applyBorder="1" applyAlignment="1">
      <alignment wrapText="1"/>
    </xf>
    <xf numFmtId="0" fontId="0" fillId="0" borderId="1" xfId="0" applyFill="1" applyBorder="1" applyAlignment="1">
      <alignment horizontal="left" vertical="center"/>
    </xf>
    <xf numFmtId="165" fontId="3" fillId="2" borderId="1" xfId="0" applyNumberFormat="1" applyFont="1" applyFill="1" applyBorder="1"/>
    <xf numFmtId="0" fontId="3" fillId="2" borderId="1" xfId="0" applyFont="1" applyFill="1" applyBorder="1" applyAlignment="1">
      <alignment horizontal="center" vertical="center"/>
    </xf>
    <xf numFmtId="0" fontId="0" fillId="0" borderId="1" xfId="0" applyFill="1" applyBorder="1"/>
    <xf numFmtId="0" fontId="4" fillId="0" borderId="1" xfId="0" applyFont="1" applyBorder="1"/>
    <xf numFmtId="165" fontId="4" fillId="0" borderId="1" xfId="1" applyFont="1" applyBorder="1"/>
    <xf numFmtId="0" fontId="0" fillId="3" borderId="1" xfId="0" applyFont="1" applyFill="1" applyBorder="1"/>
    <xf numFmtId="10" fontId="1" fillId="3" borderId="1" xfId="2" applyNumberFormat="1" applyFont="1" applyFill="1" applyBorder="1"/>
    <xf numFmtId="165" fontId="1" fillId="3" borderId="1" xfId="1" applyFont="1" applyFill="1" applyBorder="1"/>
    <xf numFmtId="10" fontId="4" fillId="0" borderId="1" xfId="2" applyNumberFormat="1" applyFont="1" applyFill="1" applyBorder="1"/>
    <xf numFmtId="10" fontId="3" fillId="2" borderId="1" xfId="2" applyNumberFormat="1" applyFont="1" applyFill="1" applyBorder="1" applyAlignment="1">
      <alignment horizontal="left" vertical="center"/>
    </xf>
    <xf numFmtId="165" fontId="3" fillId="2" borderId="1" xfId="1" applyFont="1" applyFill="1" applyBorder="1" applyAlignment="1">
      <alignment horizontal="left"/>
    </xf>
    <xf numFmtId="0" fontId="0" fillId="0" borderId="0" xfId="0" applyAlignment="1">
      <alignment horizontal="left"/>
    </xf>
    <xf numFmtId="10" fontId="0" fillId="0" borderId="1" xfId="0" applyNumberFormat="1" applyBorder="1"/>
    <xf numFmtId="165" fontId="3" fillId="4" borderId="1" xfId="1" applyFont="1" applyFill="1" applyBorder="1"/>
    <xf numFmtId="0" fontId="3" fillId="2" borderId="1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left" vertical="center"/>
    </xf>
    <xf numFmtId="165" fontId="0" fillId="0" borderId="1" xfId="1" applyFont="1" applyFill="1" applyBorder="1" applyAlignment="1">
      <alignment horizontal="left" vertical="center"/>
    </xf>
    <xf numFmtId="0" fontId="0" fillId="0" borderId="0" xfId="0" applyAlignment="1">
      <alignment horizontal="left" vertical="center"/>
    </xf>
    <xf numFmtId="39" fontId="1" fillId="0" borderId="1" xfId="1" applyNumberFormat="1" applyFont="1" applyBorder="1"/>
    <xf numFmtId="0" fontId="0" fillId="5" borderId="1" xfId="0" applyFill="1" applyBorder="1"/>
    <xf numFmtId="165" fontId="0" fillId="5" borderId="1" xfId="0" applyNumberFormat="1" applyFill="1" applyBorder="1"/>
    <xf numFmtId="10" fontId="0" fillId="5" borderId="1" xfId="2" applyNumberFormat="1" applyFont="1" applyFill="1" applyBorder="1"/>
    <xf numFmtId="0" fontId="0" fillId="0" borderId="1" xfId="0" applyFont="1" applyFill="1" applyBorder="1" applyAlignment="1">
      <alignment horizontal="left"/>
    </xf>
    <xf numFmtId="165" fontId="0" fillId="0" borderId="1" xfId="0" applyNumberFormat="1" applyFont="1" applyFill="1" applyBorder="1" applyAlignment="1">
      <alignment horizontal="center"/>
    </xf>
    <xf numFmtId="0" fontId="0" fillId="0" borderId="1" xfId="0" applyFont="1" applyFill="1" applyBorder="1" applyAlignment="1">
      <alignment horizontal="center"/>
    </xf>
    <xf numFmtId="0" fontId="0" fillId="5" borderId="1" xfId="0" applyFont="1" applyFill="1" applyBorder="1" applyAlignment="1">
      <alignment horizontal="center"/>
    </xf>
    <xf numFmtId="165" fontId="0" fillId="0" borderId="1" xfId="1" applyFont="1" applyFill="1" applyBorder="1" applyAlignment="1">
      <alignment horizontal="center"/>
    </xf>
    <xf numFmtId="0" fontId="0" fillId="0" borderId="0" xfId="0" applyFill="1"/>
    <xf numFmtId="0" fontId="0" fillId="0" borderId="0" xfId="0" applyBorder="1"/>
    <xf numFmtId="0" fontId="3" fillId="4" borderId="1" xfId="0" applyFont="1" applyFill="1" applyBorder="1" applyAlignment="1">
      <alignment horizontal="left"/>
    </xf>
    <xf numFmtId="166" fontId="6" fillId="0" borderId="1" xfId="1" applyNumberFormat="1" applyFont="1" applyFill="1" applyBorder="1" applyAlignment="1">
      <alignment horizontal="center" vertical="center" wrapText="1"/>
    </xf>
    <xf numFmtId="166" fontId="6" fillId="0" borderId="5" xfId="1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vertical="top"/>
    </xf>
    <xf numFmtId="0" fontId="9" fillId="0" borderId="0" xfId="0" applyFont="1" applyFill="1" applyBorder="1" applyAlignment="1">
      <alignment vertical="top"/>
    </xf>
    <xf numFmtId="0" fontId="0" fillId="0" borderId="0" xfId="0" applyAlignment="1">
      <alignment wrapText="1"/>
    </xf>
    <xf numFmtId="164" fontId="0" fillId="0" borderId="1" xfId="0" applyNumberFormat="1" applyBorder="1"/>
    <xf numFmtId="0" fontId="0" fillId="0" borderId="1" xfId="0" applyBorder="1" applyAlignment="1">
      <alignment horizontal="left" vertical="center"/>
    </xf>
    <xf numFmtId="0" fontId="3" fillId="2" borderId="1" xfId="0" applyFont="1" applyFill="1" applyBorder="1" applyAlignment="1">
      <alignment horizontal="center" vertical="center"/>
    </xf>
    <xf numFmtId="165" fontId="3" fillId="4" borderId="1" xfId="0" applyNumberFormat="1" applyFont="1" applyFill="1" applyBorder="1"/>
    <xf numFmtId="165" fontId="3" fillId="0" borderId="1" xfId="1" applyFont="1" applyBorder="1"/>
    <xf numFmtId="165" fontId="3" fillId="6" borderId="1" xfId="1" applyFont="1" applyFill="1" applyBorder="1"/>
    <xf numFmtId="0" fontId="0" fillId="6" borderId="1" xfId="0" applyFill="1" applyBorder="1"/>
    <xf numFmtId="0" fontId="0" fillId="0" borderId="8" xfId="0" applyFill="1" applyBorder="1" applyAlignment="1">
      <alignment horizontal="left" vertical="center"/>
    </xf>
    <xf numFmtId="0" fontId="0" fillId="0" borderId="0" xfId="0" applyFill="1" applyBorder="1"/>
    <xf numFmtId="164" fontId="0" fillId="0" borderId="1" xfId="0" applyNumberFormat="1" applyFill="1" applyBorder="1"/>
    <xf numFmtId="10" fontId="0" fillId="0" borderId="0" xfId="2" applyNumberFormat="1" applyFont="1" applyFill="1" applyBorder="1"/>
    <xf numFmtId="0" fontId="3" fillId="0" borderId="0" xfId="0" applyFont="1" applyAlignment="1">
      <alignment horizontal="left" vertical="center"/>
    </xf>
    <xf numFmtId="10" fontId="3" fillId="2" borderId="4" xfId="0" applyNumberFormat="1" applyFont="1" applyFill="1" applyBorder="1" applyAlignment="1">
      <alignment vertical="center"/>
    </xf>
    <xf numFmtId="165" fontId="3" fillId="6" borderId="1" xfId="0" applyNumberFormat="1" applyFont="1" applyFill="1" applyBorder="1" applyAlignment="1">
      <alignment horizontal="left" vertical="center"/>
    </xf>
    <xf numFmtId="165" fontId="10" fillId="8" borderId="1" xfId="0" applyNumberFormat="1" applyFont="1" applyFill="1" applyBorder="1"/>
    <xf numFmtId="0" fontId="0" fillId="0" borderId="1" xfId="0" applyBorder="1" applyAlignment="1"/>
    <xf numFmtId="168" fontId="0" fillId="0" borderId="1" xfId="0" applyNumberFormat="1" applyBorder="1"/>
    <xf numFmtId="168" fontId="0" fillId="5" borderId="1" xfId="0" applyNumberFormat="1" applyFill="1" applyBorder="1"/>
    <xf numFmtId="0" fontId="0" fillId="5" borderId="1" xfId="0" applyFill="1" applyBorder="1" applyAlignment="1">
      <alignment horizontal="center"/>
    </xf>
    <xf numFmtId="0" fontId="0" fillId="5" borderId="1" xfId="0" applyFill="1" applyBorder="1" applyAlignment="1"/>
    <xf numFmtId="165" fontId="0" fillId="0" borderId="0" xfId="0" applyNumberFormat="1"/>
    <xf numFmtId="0" fontId="0" fillId="0" borderId="2" xfId="0" applyBorder="1" applyAlignment="1">
      <alignment vertical="center"/>
    </xf>
    <xf numFmtId="165" fontId="0" fillId="0" borderId="1" xfId="2" applyNumberFormat="1" applyFont="1" applyBorder="1"/>
    <xf numFmtId="165" fontId="0" fillId="5" borderId="1" xfId="1" applyFont="1" applyFill="1" applyBorder="1"/>
    <xf numFmtId="2" fontId="0" fillId="0" borderId="1" xfId="0" applyNumberFormat="1" applyBorder="1"/>
    <xf numFmtId="165" fontId="0" fillId="0" borderId="1" xfId="1" applyFont="1" applyFill="1" applyBorder="1" applyAlignment="1">
      <alignment horizontal="right" vertical="center"/>
    </xf>
    <xf numFmtId="0" fontId="0" fillId="2" borderId="2" xfId="0" applyFill="1" applyBorder="1" applyAlignment="1">
      <alignment vertical="center"/>
    </xf>
    <xf numFmtId="9" fontId="0" fillId="0" borderId="1" xfId="2" applyFont="1" applyBorder="1" applyAlignment="1">
      <alignment vertical="center"/>
    </xf>
    <xf numFmtId="0" fontId="0" fillId="0" borderId="9" xfId="0" applyBorder="1" applyAlignment="1"/>
    <xf numFmtId="0" fontId="0" fillId="0" borderId="0" xfId="0" applyBorder="1" applyAlignment="1"/>
    <xf numFmtId="39" fontId="5" fillId="0" borderId="0" xfId="1" quotePrefix="1" applyNumberFormat="1" applyFont="1" applyBorder="1"/>
    <xf numFmtId="0" fontId="4" fillId="5" borderId="1" xfId="0" applyFont="1" applyFill="1" applyBorder="1" applyAlignment="1">
      <alignment horizontal="center"/>
    </xf>
    <xf numFmtId="165" fontId="4" fillId="0" borderId="1" xfId="0" applyNumberFormat="1" applyFont="1" applyFill="1" applyBorder="1" applyAlignment="1">
      <alignment horizontal="center"/>
    </xf>
    <xf numFmtId="0" fontId="4" fillId="5" borderId="1" xfId="0" applyFont="1" applyFill="1" applyBorder="1"/>
    <xf numFmtId="165" fontId="4" fillId="0" borderId="1" xfId="2" applyNumberFormat="1" applyFont="1" applyBorder="1"/>
    <xf numFmtId="0" fontId="0" fillId="0" borderId="1" xfId="0" applyFill="1" applyBorder="1" applyAlignment="1">
      <alignment wrapText="1"/>
    </xf>
    <xf numFmtId="0" fontId="4" fillId="0" borderId="1" xfId="0" applyFont="1" applyFill="1" applyBorder="1"/>
    <xf numFmtId="165" fontId="4" fillId="0" borderId="1" xfId="0" applyNumberFormat="1" applyFont="1" applyBorder="1"/>
    <xf numFmtId="0" fontId="0" fillId="0" borderId="1" xfId="0" applyFont="1" applyFill="1" applyBorder="1" applyAlignment="1">
      <alignment horizontal="right"/>
    </xf>
    <xf numFmtId="0" fontId="0" fillId="0" borderId="7" xfId="0" applyBorder="1" applyAlignment="1">
      <alignment horizontal="left" vertical="center"/>
    </xf>
    <xf numFmtId="0" fontId="0" fillId="0" borderId="1" xfId="0" applyFill="1" applyBorder="1" applyAlignment="1">
      <alignment horizontal="left" vertical="center"/>
    </xf>
    <xf numFmtId="2" fontId="0" fillId="0" borderId="0" xfId="0" applyNumberFormat="1"/>
    <xf numFmtId="164" fontId="3" fillId="2" borderId="1" xfId="1" applyNumberFormat="1" applyFont="1" applyFill="1" applyBorder="1"/>
    <xf numFmtId="0" fontId="0" fillId="0" borderId="1" xfId="0" applyFont="1" applyBorder="1"/>
    <xf numFmtId="165" fontId="3" fillId="6" borderId="1" xfId="0" applyNumberFormat="1" applyFont="1" applyFill="1" applyBorder="1"/>
    <xf numFmtId="169" fontId="0" fillId="0" borderId="1" xfId="0" applyNumberFormat="1" applyBorder="1"/>
    <xf numFmtId="10" fontId="0" fillId="9" borderId="1" xfId="2" applyNumberFormat="1" applyFont="1" applyFill="1" applyBorder="1"/>
    <xf numFmtId="0" fontId="0" fillId="9" borderId="1" xfId="0" applyFill="1" applyBorder="1" applyAlignment="1">
      <alignment horizontal="left" wrapText="1"/>
    </xf>
    <xf numFmtId="0" fontId="0" fillId="9" borderId="1" xfId="0" applyFill="1" applyBorder="1"/>
    <xf numFmtId="0" fontId="0" fillId="9" borderId="1" xfId="0" applyFont="1" applyFill="1" applyBorder="1" applyAlignment="1">
      <alignment horizontal="left" wrapText="1"/>
    </xf>
    <xf numFmtId="165" fontId="0" fillId="0" borderId="1" xfId="0" applyNumberFormat="1" applyFill="1" applyBorder="1"/>
    <xf numFmtId="0" fontId="0" fillId="0" borderId="0" xfId="0" applyAlignment="1">
      <alignment vertical="top" wrapText="1"/>
    </xf>
    <xf numFmtId="165" fontId="0" fillId="0" borderId="1" xfId="1" applyFont="1" applyFill="1" applyBorder="1"/>
    <xf numFmtId="0" fontId="0" fillId="0" borderId="1" xfId="0" applyBorder="1" applyAlignment="1">
      <alignment horizontal="left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left" vertical="center"/>
    </xf>
    <xf numFmtId="0" fontId="3" fillId="4" borderId="1" xfId="0" applyFont="1" applyFill="1" applyBorder="1" applyAlignment="1">
      <alignment horizontal="left"/>
    </xf>
    <xf numFmtId="0" fontId="3" fillId="2" borderId="4" xfId="0" applyFont="1" applyFill="1" applyBorder="1" applyAlignment="1">
      <alignment horizontal="left" vertical="center"/>
    </xf>
    <xf numFmtId="0" fontId="3" fillId="2" borderId="4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0" fontId="0" fillId="0" borderId="0" xfId="0" applyBorder="1" applyAlignment="1">
      <alignment wrapText="1"/>
    </xf>
    <xf numFmtId="170" fontId="13" fillId="0" borderId="1" xfId="0" applyNumberFormat="1" applyFont="1" applyBorder="1" applyAlignment="1">
      <alignment vertical="center" wrapText="1"/>
    </xf>
    <xf numFmtId="165" fontId="3" fillId="2" borderId="1" xfId="1" applyNumberFormat="1" applyFont="1" applyFill="1" applyBorder="1"/>
    <xf numFmtId="170" fontId="13" fillId="0" borderId="0" xfId="0" applyNumberFormat="1" applyFont="1" applyBorder="1" applyAlignment="1">
      <alignment vertical="center" wrapText="1"/>
    </xf>
    <xf numFmtId="0" fontId="0" fillId="2" borderId="1" xfId="0" applyFill="1" applyBorder="1" applyAlignment="1">
      <alignment horizontal="left" vertical="center"/>
    </xf>
    <xf numFmtId="0" fontId="7" fillId="0" borderId="0" xfId="0" applyFont="1" applyFill="1" applyAlignment="1"/>
    <xf numFmtId="166" fontId="7" fillId="0" borderId="0" xfId="1" applyNumberFormat="1" applyFont="1" applyFill="1" applyAlignment="1"/>
    <xf numFmtId="0" fontId="6" fillId="0" borderId="1" xfId="0" applyFont="1" applyFill="1" applyBorder="1" applyAlignment="1">
      <alignment horizontal="center" vertical="center" wrapText="1"/>
    </xf>
    <xf numFmtId="166" fontId="8" fillId="0" borderId="1" xfId="1" applyNumberFormat="1" applyFont="1" applyFill="1" applyBorder="1" applyAlignment="1">
      <alignment horizontal="center" vertical="center" wrapText="1"/>
    </xf>
    <xf numFmtId="0" fontId="0" fillId="0" borderId="0" xfId="0" applyFill="1" applyAlignment="1">
      <alignment wrapText="1"/>
    </xf>
    <xf numFmtId="0" fontId="7" fillId="0" borderId="0" xfId="0" applyFont="1" applyFill="1" applyAlignment="1">
      <alignment wrapText="1"/>
    </xf>
    <xf numFmtId="0" fontId="9" fillId="0" borderId="1" xfId="0" applyFont="1" applyFill="1" applyBorder="1" applyAlignment="1">
      <alignment horizontal="right" vertical="top"/>
    </xf>
    <xf numFmtId="166" fontId="7" fillId="0" borderId="1" xfId="1" applyNumberFormat="1" applyFont="1" applyFill="1" applyBorder="1" applyAlignment="1"/>
    <xf numFmtId="0" fontId="0" fillId="0" borderId="0" xfId="0" applyFill="1" applyAlignment="1"/>
    <xf numFmtId="166" fontId="7" fillId="0" borderId="0" xfId="1" applyNumberFormat="1" applyFont="1" applyFill="1" applyBorder="1" applyAlignment="1"/>
    <xf numFmtId="166" fontId="7" fillId="0" borderId="1" xfId="0" applyNumberFormat="1" applyFont="1" applyFill="1" applyBorder="1" applyAlignment="1"/>
    <xf numFmtId="0" fontId="9" fillId="0" borderId="0" xfId="0" applyFont="1" applyFill="1" applyAlignment="1">
      <alignment vertical="top"/>
    </xf>
    <xf numFmtId="0" fontId="9" fillId="0" borderId="0" xfId="0" applyFont="1" applyFill="1" applyAlignment="1">
      <alignment horizontal="right" vertical="top"/>
    </xf>
    <xf numFmtId="0" fontId="7" fillId="0" borderId="0" xfId="0" applyFont="1" applyFill="1" applyBorder="1" applyAlignment="1"/>
    <xf numFmtId="0" fontId="6" fillId="0" borderId="0" xfId="0" applyFont="1" applyFill="1" applyBorder="1" applyAlignment="1">
      <alignment vertical="top"/>
    </xf>
    <xf numFmtId="0" fontId="6" fillId="0" borderId="5" xfId="0" applyFont="1" applyFill="1" applyBorder="1" applyAlignment="1">
      <alignment horizontal="center" vertical="center" wrapText="1"/>
    </xf>
    <xf numFmtId="166" fontId="8" fillId="0" borderId="5" xfId="1" applyNumberFormat="1" applyFont="1" applyFill="1" applyBorder="1" applyAlignment="1">
      <alignment horizontal="center" vertical="center" wrapText="1"/>
    </xf>
    <xf numFmtId="166" fontId="7" fillId="0" borderId="0" xfId="0" applyNumberFormat="1" applyFont="1" applyFill="1" applyBorder="1" applyAlignment="1"/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3" fillId="2" borderId="2" xfId="0" applyFont="1" applyFill="1" applyBorder="1" applyAlignment="1">
      <alignment horizontal="left" vertical="center"/>
    </xf>
    <xf numFmtId="0" fontId="3" fillId="2" borderId="4" xfId="0" applyFont="1" applyFill="1" applyBorder="1" applyAlignment="1">
      <alignment horizontal="left" vertical="center"/>
    </xf>
    <xf numFmtId="0" fontId="3" fillId="2" borderId="4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left"/>
    </xf>
    <xf numFmtId="0" fontId="3" fillId="4" borderId="1" xfId="0" applyFont="1" applyFill="1" applyBorder="1" applyAlignment="1">
      <alignment horizontal="center" vertical="center"/>
    </xf>
    <xf numFmtId="14" fontId="0" fillId="0" borderId="0" xfId="0" applyNumberFormat="1"/>
    <xf numFmtId="0" fontId="18" fillId="0" borderId="0" xfId="0" applyFont="1"/>
    <xf numFmtId="0" fontId="10" fillId="10" borderId="7" xfId="0" applyFont="1" applyFill="1" applyBorder="1" applyAlignment="1">
      <alignment horizontal="center" wrapText="1"/>
    </xf>
    <xf numFmtId="0" fontId="0" fillId="12" borderId="1" xfId="0" applyFill="1" applyBorder="1" applyAlignment="1">
      <alignment horizontal="left" vertical="center"/>
    </xf>
    <xf numFmtId="0" fontId="0" fillId="12" borderId="1" xfId="0" applyFill="1" applyBorder="1" applyAlignment="1">
      <alignment vertical="center"/>
    </xf>
    <xf numFmtId="0" fontId="0" fillId="13" borderId="1" xfId="0" applyFill="1" applyBorder="1" applyAlignment="1">
      <alignment horizontal="left" vertical="center"/>
    </xf>
    <xf numFmtId="0" fontId="0" fillId="13" borderId="1" xfId="0" applyFill="1" applyBorder="1" applyAlignment="1">
      <alignment vertical="center"/>
    </xf>
    <xf numFmtId="0" fontId="0" fillId="14" borderId="1" xfId="0" applyFill="1" applyBorder="1" applyAlignment="1">
      <alignment vertical="center"/>
    </xf>
    <xf numFmtId="0" fontId="0" fillId="14" borderId="1" xfId="0" applyFill="1" applyBorder="1" applyAlignment="1">
      <alignment horizontal="left" vertical="center"/>
    </xf>
    <xf numFmtId="0" fontId="0" fillId="15" borderId="1" xfId="0" applyFill="1" applyBorder="1" applyAlignment="1">
      <alignment vertical="center"/>
    </xf>
    <xf numFmtId="0" fontId="0" fillId="15" borderId="1" xfId="0" applyFill="1" applyBorder="1" applyAlignment="1">
      <alignment horizontal="left" vertical="center"/>
    </xf>
    <xf numFmtId="0" fontId="3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3" fillId="2" borderId="2" xfId="0" applyFont="1" applyFill="1" applyBorder="1" applyAlignment="1">
      <alignment horizontal="left" vertical="center"/>
    </xf>
    <xf numFmtId="0" fontId="3" fillId="4" borderId="1" xfId="0" applyFont="1" applyFill="1" applyBorder="1" applyAlignment="1">
      <alignment horizontal="left"/>
    </xf>
    <xf numFmtId="0" fontId="3" fillId="2" borderId="4" xfId="0" applyFont="1" applyFill="1" applyBorder="1" applyAlignment="1">
      <alignment horizontal="left" vertical="center"/>
    </xf>
    <xf numFmtId="0" fontId="3" fillId="2" borderId="4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0" fontId="0" fillId="16" borderId="1" xfId="0" applyFill="1" applyBorder="1" applyAlignment="1">
      <alignment horizontal="left" vertical="center"/>
    </xf>
    <xf numFmtId="0" fontId="0" fillId="16" borderId="1" xfId="0" applyFill="1" applyBorder="1" applyAlignment="1">
      <alignment vertical="center"/>
    </xf>
    <xf numFmtId="166" fontId="7" fillId="9" borderId="1" xfId="1" applyNumberFormat="1" applyFont="1" applyFill="1" applyBorder="1" applyAlignment="1"/>
    <xf numFmtId="39" fontId="0" fillId="0" borderId="1" xfId="0" applyNumberFormat="1" applyBorder="1"/>
    <xf numFmtId="165" fontId="4" fillId="0" borderId="1" xfId="1" applyFont="1" applyFill="1" applyBorder="1"/>
    <xf numFmtId="0" fontId="0" fillId="0" borderId="1" xfId="0" applyBorder="1" applyAlignment="1">
      <alignment horizontal="left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left" vertical="center"/>
    </xf>
    <xf numFmtId="0" fontId="3" fillId="4" borderId="1" xfId="0" applyFont="1" applyFill="1" applyBorder="1" applyAlignment="1">
      <alignment horizontal="left"/>
    </xf>
    <xf numFmtId="0" fontId="3" fillId="2" borderId="4" xfId="0" applyFont="1" applyFill="1" applyBorder="1" applyAlignment="1">
      <alignment horizontal="left" vertical="center"/>
    </xf>
    <xf numFmtId="0" fontId="3" fillId="2" borderId="4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left" vertical="center"/>
    </xf>
    <xf numFmtId="0" fontId="3" fillId="2" borderId="4" xfId="0" applyFont="1" applyFill="1" applyBorder="1" applyAlignment="1">
      <alignment horizontal="left" vertical="center"/>
    </xf>
    <xf numFmtId="0" fontId="3" fillId="2" borderId="4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left" vertical="center"/>
    </xf>
    <xf numFmtId="0" fontId="3" fillId="2" borderId="4" xfId="0" applyFont="1" applyFill="1" applyBorder="1" applyAlignment="1">
      <alignment horizontal="left" vertical="center"/>
    </xf>
    <xf numFmtId="0" fontId="3" fillId="2" borderId="4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0" fontId="14" fillId="0" borderId="0" xfId="0" applyFont="1" applyFill="1" applyBorder="1" applyAlignment="1">
      <alignment horizontal="center" vertical="center" wrapText="1"/>
    </xf>
    <xf numFmtId="0" fontId="0" fillId="17" borderId="1" xfId="0" applyFill="1" applyBorder="1" applyAlignment="1">
      <alignment horizontal="left" vertical="center"/>
    </xf>
    <xf numFmtId="0" fontId="0" fillId="17" borderId="1" xfId="0" applyFill="1" applyBorder="1" applyAlignment="1">
      <alignment vertical="center"/>
    </xf>
    <xf numFmtId="0" fontId="0" fillId="18" borderId="1" xfId="0" applyFill="1" applyBorder="1"/>
    <xf numFmtId="165" fontId="0" fillId="18" borderId="1" xfId="1" applyFont="1" applyFill="1" applyBorder="1"/>
    <xf numFmtId="0" fontId="0" fillId="2" borderId="1" xfId="0" applyFill="1" applyBorder="1" applyAlignment="1">
      <alignment vertical="center"/>
    </xf>
    <xf numFmtId="0" fontId="0" fillId="19" borderId="1" xfId="0" applyFill="1" applyBorder="1" applyAlignment="1">
      <alignment horizontal="left" vertical="center"/>
    </xf>
    <xf numFmtId="0" fontId="0" fillId="19" borderId="1" xfId="0" applyFill="1" applyBorder="1" applyAlignment="1">
      <alignment vertical="center"/>
    </xf>
    <xf numFmtId="0" fontId="16" fillId="10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right" vertical="center" wrapText="1"/>
    </xf>
    <xf numFmtId="165" fontId="0" fillId="0" borderId="1" xfId="0" applyNumberFormat="1" applyBorder="1" applyAlignment="1">
      <alignment horizontal="right" vertical="center" wrapText="1"/>
    </xf>
    <xf numFmtId="165" fontId="0" fillId="0" borderId="1" xfId="1" applyFont="1" applyBorder="1" applyAlignment="1">
      <alignment horizontal="right" vertical="center" wrapText="1"/>
    </xf>
    <xf numFmtId="165" fontId="10" fillId="10" borderId="1" xfId="0" applyNumberFormat="1" applyFont="1" applyFill="1" applyBorder="1"/>
    <xf numFmtId="0" fontId="17" fillId="10" borderId="7" xfId="0" applyFont="1" applyFill="1" applyBorder="1" applyAlignment="1">
      <alignment horizontal="center" vertical="center" wrapText="1"/>
    </xf>
    <xf numFmtId="0" fontId="21" fillId="10" borderId="7" xfId="0" applyFont="1" applyFill="1" applyBorder="1" applyAlignment="1">
      <alignment horizontal="center" vertical="center" wrapText="1"/>
    </xf>
    <xf numFmtId="165" fontId="0" fillId="0" borderId="16" xfId="1" applyFont="1" applyBorder="1"/>
    <xf numFmtId="165" fontId="0" fillId="0" borderId="22" xfId="1" applyFont="1" applyBorder="1"/>
    <xf numFmtId="0" fontId="16" fillId="10" borderId="7" xfId="0" applyFont="1" applyFill="1" applyBorder="1" applyAlignment="1">
      <alignment horizontal="center" vertical="center" wrapText="1"/>
    </xf>
    <xf numFmtId="0" fontId="16" fillId="10" borderId="32" xfId="0" applyFont="1" applyFill="1" applyBorder="1" applyAlignment="1">
      <alignment horizontal="center" vertical="center" wrapText="1"/>
    </xf>
    <xf numFmtId="0" fontId="10" fillId="10" borderId="33" xfId="0" applyFont="1" applyFill="1" applyBorder="1"/>
    <xf numFmtId="0" fontId="10" fillId="10" borderId="30" xfId="0" applyFont="1" applyFill="1" applyBorder="1"/>
    <xf numFmtId="0" fontId="10" fillId="10" borderId="0" xfId="0" applyFont="1" applyFill="1"/>
    <xf numFmtId="0" fontId="16" fillId="10" borderId="7" xfId="0" applyFont="1" applyFill="1" applyBorder="1" applyAlignment="1">
      <alignment horizontal="center" vertical="center" wrapText="1"/>
    </xf>
    <xf numFmtId="0" fontId="7" fillId="0" borderId="16" xfId="0" applyFont="1" applyFill="1" applyBorder="1"/>
    <xf numFmtId="0" fontId="5" fillId="0" borderId="16" xfId="0" applyFont="1" applyFill="1" applyBorder="1"/>
    <xf numFmtId="0" fontId="0" fillId="0" borderId="16" xfId="0" applyFill="1" applyBorder="1"/>
    <xf numFmtId="0" fontId="7" fillId="0" borderId="1" xfId="0" applyFont="1" applyFill="1" applyBorder="1"/>
    <xf numFmtId="0" fontId="5" fillId="0" borderId="1" xfId="0" applyFont="1" applyFill="1" applyBorder="1"/>
    <xf numFmtId="0" fontId="7" fillId="0" borderId="22" xfId="0" applyFont="1" applyFill="1" applyBorder="1"/>
    <xf numFmtId="0" fontId="5" fillId="0" borderId="22" xfId="0" applyFont="1" applyFill="1" applyBorder="1"/>
    <xf numFmtId="0" fontId="0" fillId="0" borderId="22" xfId="0" applyFill="1" applyBorder="1"/>
    <xf numFmtId="0" fontId="7" fillId="0" borderId="7" xfId="0" applyFont="1" applyFill="1" applyBorder="1"/>
    <xf numFmtId="0" fontId="5" fillId="0" borderId="7" xfId="0" applyFont="1" applyFill="1" applyBorder="1"/>
    <xf numFmtId="0" fontId="0" fillId="0" borderId="7" xfId="0" applyFill="1" applyBorder="1"/>
    <xf numFmtId="0" fontId="20" fillId="0" borderId="26" xfId="0" applyFont="1" applyFill="1" applyBorder="1"/>
    <xf numFmtId="0" fontId="20" fillId="0" borderId="18" xfId="0" applyFont="1" applyFill="1" applyBorder="1"/>
    <xf numFmtId="0" fontId="20" fillId="0" borderId="21" xfId="0" applyFont="1" applyFill="1" applyBorder="1"/>
    <xf numFmtId="0" fontId="20" fillId="0" borderId="31" xfId="0" applyFont="1" applyFill="1" applyBorder="1"/>
    <xf numFmtId="0" fontId="3" fillId="0" borderId="34" xfId="0" applyFont="1" applyBorder="1"/>
    <xf numFmtId="0" fontId="3" fillId="0" borderId="36" xfId="0" applyFont="1" applyBorder="1"/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3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right" vertical="center"/>
    </xf>
    <xf numFmtId="0" fontId="0" fillId="0" borderId="1" xfId="0" applyBorder="1" applyAlignment="1">
      <alignment horizontal="left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left" vertical="center"/>
    </xf>
    <xf numFmtId="0" fontId="3" fillId="2" borderId="4" xfId="0" applyFont="1" applyFill="1" applyBorder="1" applyAlignment="1">
      <alignment horizontal="left" vertical="center"/>
    </xf>
    <xf numFmtId="0" fontId="3" fillId="2" borderId="4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left"/>
    </xf>
    <xf numFmtId="0" fontId="3" fillId="4" borderId="1" xfId="0" applyFont="1" applyFill="1" applyBorder="1" applyAlignment="1">
      <alignment horizontal="center" vertical="center"/>
    </xf>
    <xf numFmtId="165" fontId="3" fillId="0" borderId="0" xfId="0" applyNumberFormat="1" applyFont="1"/>
    <xf numFmtId="165" fontId="0" fillId="0" borderId="0" xfId="1" applyFont="1" applyFill="1" applyBorder="1"/>
    <xf numFmtId="165" fontId="0" fillId="0" borderId="0" xfId="0" applyNumberFormat="1" applyBorder="1" applyAlignment="1">
      <alignment horizontal="right" vertical="center" wrapText="1"/>
    </xf>
    <xf numFmtId="165" fontId="0" fillId="0" borderId="16" xfId="1" applyFont="1" applyBorder="1" applyAlignment="1">
      <alignment horizontal="right" vertical="center" wrapText="1"/>
    </xf>
    <xf numFmtId="165" fontId="0" fillId="0" borderId="27" xfId="1" applyFont="1" applyBorder="1"/>
    <xf numFmtId="165" fontId="0" fillId="0" borderId="20" xfId="1" applyFont="1" applyBorder="1"/>
    <xf numFmtId="165" fontId="0" fillId="0" borderId="22" xfId="1" applyFont="1" applyBorder="1" applyAlignment="1">
      <alignment horizontal="right" vertical="center" wrapText="1"/>
    </xf>
    <xf numFmtId="165" fontId="0" fillId="0" borderId="7" xfId="1" applyFont="1" applyBorder="1"/>
    <xf numFmtId="165" fontId="0" fillId="0" borderId="7" xfId="1" applyFont="1" applyBorder="1" applyAlignment="1">
      <alignment horizontal="right" vertical="center" wrapText="1"/>
    </xf>
    <xf numFmtId="165" fontId="3" fillId="0" borderId="32" xfId="1" applyFont="1" applyBorder="1"/>
    <xf numFmtId="165" fontId="3" fillId="0" borderId="23" xfId="1" applyFont="1" applyBorder="1" applyAlignment="1">
      <alignment horizontal="center"/>
    </xf>
    <xf numFmtId="0" fontId="3" fillId="0" borderId="29" xfId="0" applyFont="1" applyBorder="1"/>
    <xf numFmtId="0" fontId="3" fillId="0" borderId="38" xfId="0" applyFont="1" applyBorder="1"/>
    <xf numFmtId="165" fontId="3" fillId="0" borderId="38" xfId="0" applyNumberFormat="1" applyFont="1" applyBorder="1"/>
    <xf numFmtId="165" fontId="3" fillId="0" borderId="38" xfId="1" applyFont="1" applyBorder="1"/>
    <xf numFmtId="0" fontId="10" fillId="10" borderId="17" xfId="0" applyFont="1" applyFill="1" applyBorder="1" applyAlignment="1">
      <alignment vertical="center" wrapText="1"/>
    </xf>
    <xf numFmtId="165" fontId="3" fillId="0" borderId="0" xfId="1" applyFont="1" applyAlignment="1">
      <alignment horizontal="right" vertical="center"/>
    </xf>
    <xf numFmtId="165" fontId="0" fillId="0" borderId="1" xfId="0" applyNumberFormat="1" applyBorder="1" applyAlignment="1">
      <alignment vertical="center"/>
    </xf>
    <xf numFmtId="0" fontId="22" fillId="2" borderId="5" xfId="0" applyFont="1" applyFill="1" applyBorder="1"/>
    <xf numFmtId="165" fontId="3" fillId="2" borderId="5" xfId="0" applyNumberFormat="1" applyFont="1" applyFill="1" applyBorder="1"/>
    <xf numFmtId="165" fontId="3" fillId="2" borderId="5" xfId="1" applyFont="1" applyFill="1" applyBorder="1" applyAlignment="1">
      <alignment horizontal="right" vertical="center"/>
    </xf>
    <xf numFmtId="0" fontId="10" fillId="10" borderId="7" xfId="0" applyFont="1" applyFill="1" applyBorder="1" applyAlignment="1">
      <alignment horizontal="center" vertical="center" wrapText="1"/>
    </xf>
    <xf numFmtId="165" fontId="0" fillId="0" borderId="1" xfId="1" applyFont="1" applyBorder="1" applyAlignment="1">
      <alignment vertical="center"/>
    </xf>
    <xf numFmtId="165" fontId="0" fillId="0" borderId="16" xfId="1" applyFont="1" applyBorder="1" applyAlignment="1">
      <alignment vertical="center"/>
    </xf>
    <xf numFmtId="0" fontId="0" fillId="0" borderId="27" xfId="0" applyBorder="1"/>
    <xf numFmtId="0" fontId="0" fillId="0" borderId="20" xfId="0" applyBorder="1"/>
    <xf numFmtId="165" fontId="0" fillId="0" borderId="7" xfId="1" applyFont="1" applyBorder="1" applyAlignment="1">
      <alignment vertical="center"/>
    </xf>
    <xf numFmtId="165" fontId="3" fillId="0" borderId="35" xfId="1" applyFont="1" applyBorder="1"/>
    <xf numFmtId="165" fontId="0" fillId="0" borderId="22" xfId="0" applyNumberFormat="1" applyBorder="1" applyAlignment="1">
      <alignment vertical="center"/>
    </xf>
    <xf numFmtId="165" fontId="0" fillId="0" borderId="23" xfId="0" applyNumberFormat="1" applyBorder="1"/>
    <xf numFmtId="165" fontId="0" fillId="0" borderId="32" xfId="0" applyNumberFormat="1" applyBorder="1"/>
    <xf numFmtId="165" fontId="3" fillId="0" borderId="32" xfId="0" applyNumberFormat="1" applyFont="1" applyBorder="1"/>
    <xf numFmtId="165" fontId="3" fillId="0" borderId="23" xfId="0" applyNumberFormat="1" applyFont="1" applyBorder="1"/>
    <xf numFmtId="0" fontId="0" fillId="0" borderId="1" xfId="0" applyBorder="1" applyAlignment="1">
      <alignment vertical="center" wrapText="1"/>
    </xf>
    <xf numFmtId="165" fontId="1" fillId="0" borderId="1" xfId="1" applyFont="1" applyBorder="1" applyAlignment="1">
      <alignment horizontal="right" vertical="center"/>
    </xf>
    <xf numFmtId="165" fontId="0" fillId="0" borderId="1" xfId="0" applyNumberFormat="1" applyBorder="1" applyAlignment="1">
      <alignment horizontal="right" vertical="center"/>
    </xf>
    <xf numFmtId="165" fontId="0" fillId="0" borderId="1" xfId="0" applyNumberFormat="1" applyFont="1" applyBorder="1" applyAlignment="1">
      <alignment horizontal="right" vertical="center"/>
    </xf>
    <xf numFmtId="0" fontId="10" fillId="10" borderId="1" xfId="0" applyFont="1" applyFill="1" applyBorder="1" applyAlignment="1">
      <alignment horizontal="center" vertical="center" wrapText="1"/>
    </xf>
    <xf numFmtId="0" fontId="10" fillId="10" borderId="1" xfId="0" applyFont="1" applyFill="1" applyBorder="1" applyAlignment="1">
      <alignment vertical="center" wrapText="1"/>
    </xf>
    <xf numFmtId="165" fontId="0" fillId="0" borderId="16" xfId="0" applyNumberFormat="1" applyBorder="1" applyAlignment="1">
      <alignment vertical="center"/>
    </xf>
    <xf numFmtId="165" fontId="0" fillId="0" borderId="7" xfId="0" applyNumberFormat="1" applyBorder="1" applyAlignment="1">
      <alignment vertical="center"/>
    </xf>
    <xf numFmtId="165" fontId="3" fillId="0" borderId="35" xfId="0" applyNumberFormat="1" applyFont="1" applyBorder="1"/>
    <xf numFmtId="165" fontId="3" fillId="2" borderId="5" xfId="1" applyFont="1" applyFill="1" applyBorder="1"/>
    <xf numFmtId="0" fontId="0" fillId="0" borderId="0" xfId="0" applyFill="1" applyBorder="1" applyAlignment="1">
      <alignment horizontal="left" vertical="center" wrapText="1"/>
    </xf>
    <xf numFmtId="0" fontId="0" fillId="20" borderId="1" xfId="0" applyFill="1" applyBorder="1" applyAlignment="1">
      <alignment horizontal="left" vertical="center"/>
    </xf>
    <xf numFmtId="0" fontId="0" fillId="20" borderId="1" xfId="0" applyFill="1" applyBorder="1" applyAlignment="1">
      <alignment vertical="center"/>
    </xf>
    <xf numFmtId="0" fontId="0" fillId="21" borderId="1" xfId="0" applyFill="1" applyBorder="1" applyAlignment="1">
      <alignment horizontal="left" vertical="center"/>
    </xf>
    <xf numFmtId="0" fontId="0" fillId="21" borderId="1" xfId="0" applyFill="1" applyBorder="1" applyAlignment="1">
      <alignment vertical="center"/>
    </xf>
    <xf numFmtId="0" fontId="0" fillId="0" borderId="0" xfId="0" applyAlignment="1">
      <alignment horizontal="right" vertical="center"/>
    </xf>
    <xf numFmtId="165" fontId="3" fillId="2" borderId="1" xfId="1" applyFont="1" applyFill="1" applyBorder="1" applyAlignment="1">
      <alignment horizontal="right" vertical="center"/>
    </xf>
    <xf numFmtId="0" fontId="0" fillId="22" borderId="1" xfId="0" applyFill="1" applyBorder="1" applyAlignment="1">
      <alignment horizontal="left" vertical="center"/>
    </xf>
    <xf numFmtId="0" fontId="0" fillId="22" borderId="1" xfId="0" applyFill="1" applyBorder="1" applyAlignment="1">
      <alignment vertical="center"/>
    </xf>
    <xf numFmtId="0" fontId="20" fillId="0" borderId="39" xfId="0" applyFont="1" applyFill="1" applyBorder="1"/>
    <xf numFmtId="0" fontId="7" fillId="0" borderId="5" xfId="0" applyFont="1" applyFill="1" applyBorder="1"/>
    <xf numFmtId="0" fontId="5" fillId="0" borderId="5" xfId="0" applyFont="1" applyFill="1" applyBorder="1"/>
    <xf numFmtId="0" fontId="0" fillId="0" borderId="5" xfId="0" applyFill="1" applyBorder="1"/>
    <xf numFmtId="165" fontId="0" fillId="0" borderId="5" xfId="1" applyFont="1" applyBorder="1"/>
    <xf numFmtId="165" fontId="0" fillId="0" borderId="5" xfId="0" applyNumberFormat="1" applyBorder="1" applyAlignment="1">
      <alignment vertical="center"/>
    </xf>
    <xf numFmtId="0" fontId="0" fillId="0" borderId="40" xfId="0" applyBorder="1"/>
    <xf numFmtId="0" fontId="10" fillId="8" borderId="34" xfId="0" applyFont="1" applyFill="1" applyBorder="1"/>
    <xf numFmtId="0" fontId="10" fillId="8" borderId="36" xfId="0" applyFont="1" applyFill="1" applyBorder="1"/>
    <xf numFmtId="165" fontId="10" fillId="8" borderId="35" xfId="1" applyFont="1" applyFill="1" applyBorder="1"/>
    <xf numFmtId="165" fontId="10" fillId="8" borderId="35" xfId="0" applyNumberFormat="1" applyFont="1" applyFill="1" applyBorder="1"/>
    <xf numFmtId="0" fontId="20" fillId="23" borderId="1" xfId="0" applyFont="1" applyFill="1" applyBorder="1"/>
    <xf numFmtId="0" fontId="7" fillId="23" borderId="1" xfId="0" applyFont="1" applyFill="1" applyBorder="1"/>
    <xf numFmtId="0" fontId="5" fillId="23" borderId="1" xfId="0" applyFont="1" applyFill="1" applyBorder="1"/>
    <xf numFmtId="0" fontId="0" fillId="23" borderId="1" xfId="0" applyFill="1" applyBorder="1"/>
    <xf numFmtId="0" fontId="20" fillId="16" borderId="1" xfId="0" applyFont="1" applyFill="1" applyBorder="1"/>
    <xf numFmtId="0" fontId="7" fillId="16" borderId="1" xfId="0" applyFont="1" applyFill="1" applyBorder="1"/>
    <xf numFmtId="0" fontId="5" fillId="16" borderId="1" xfId="0" applyFont="1" applyFill="1" applyBorder="1"/>
    <xf numFmtId="0" fontId="0" fillId="16" borderId="1" xfId="0" applyFill="1" applyBorder="1"/>
    <xf numFmtId="0" fontId="20" fillId="24" borderId="1" xfId="0" applyFont="1" applyFill="1" applyBorder="1"/>
    <xf numFmtId="0" fontId="7" fillId="24" borderId="1" xfId="0" applyFont="1" applyFill="1" applyBorder="1"/>
    <xf numFmtId="0" fontId="5" fillId="24" borderId="1" xfId="0" applyFont="1" applyFill="1" applyBorder="1"/>
    <xf numFmtId="0" fontId="0" fillId="24" borderId="1" xfId="0" applyFill="1" applyBorder="1"/>
    <xf numFmtId="0" fontId="20" fillId="25" borderId="1" xfId="0" applyFont="1" applyFill="1" applyBorder="1"/>
    <xf numFmtId="0" fontId="7" fillId="25" borderId="1" xfId="0" applyFont="1" applyFill="1" applyBorder="1"/>
    <xf numFmtId="0" fontId="5" fillId="25" borderId="1" xfId="0" applyFont="1" applyFill="1" applyBorder="1"/>
    <xf numFmtId="0" fontId="0" fillId="25" borderId="1" xfId="0" applyFont="1" applyFill="1" applyBorder="1"/>
    <xf numFmtId="0" fontId="20" fillId="11" borderId="1" xfId="0" applyFont="1" applyFill="1" applyBorder="1"/>
    <xf numFmtId="0" fontId="7" fillId="11" borderId="1" xfId="0" applyFont="1" applyFill="1" applyBorder="1"/>
    <xf numFmtId="0" fontId="5" fillId="11" borderId="1" xfId="0" applyFont="1" applyFill="1" applyBorder="1"/>
    <xf numFmtId="0" fontId="0" fillId="11" borderId="1" xfId="0" applyFont="1" applyFill="1" applyBorder="1"/>
    <xf numFmtId="0" fontId="20" fillId="26" borderId="1" xfId="0" applyFont="1" applyFill="1" applyBorder="1"/>
    <xf numFmtId="0" fontId="7" fillId="26" borderId="1" xfId="0" applyFont="1" applyFill="1" applyBorder="1"/>
    <xf numFmtId="0" fontId="5" fillId="26" borderId="1" xfId="0" applyFont="1" applyFill="1" applyBorder="1"/>
    <xf numFmtId="0" fontId="0" fillId="26" borderId="1" xfId="0" applyFont="1" applyFill="1" applyBorder="1"/>
    <xf numFmtId="0" fontId="0" fillId="25" borderId="1" xfId="0" applyFill="1" applyBorder="1"/>
    <xf numFmtId="0" fontId="0" fillId="11" borderId="1" xfId="0" applyFill="1" applyBorder="1"/>
    <xf numFmtId="0" fontId="0" fillId="26" borderId="1" xfId="0" applyFill="1" applyBorder="1"/>
    <xf numFmtId="0" fontId="20" fillId="27" borderId="1" xfId="0" applyFont="1" applyFill="1" applyBorder="1"/>
    <xf numFmtId="0" fontId="7" fillId="27" borderId="1" xfId="0" applyFont="1" applyFill="1" applyBorder="1"/>
    <xf numFmtId="0" fontId="5" fillId="27" borderId="1" xfId="0" applyFont="1" applyFill="1" applyBorder="1"/>
    <xf numFmtId="0" fontId="0" fillId="27" borderId="1" xfId="0" applyFont="1" applyFill="1" applyBorder="1"/>
    <xf numFmtId="0" fontId="20" fillId="28" borderId="1" xfId="0" applyFont="1" applyFill="1" applyBorder="1"/>
    <xf numFmtId="0" fontId="7" fillId="28" borderId="1" xfId="0" applyFont="1" applyFill="1" applyBorder="1"/>
    <xf numFmtId="0" fontId="5" fillId="28" borderId="1" xfId="0" applyFont="1" applyFill="1" applyBorder="1"/>
    <xf numFmtId="0" fontId="0" fillId="28" borderId="1" xfId="0" applyFont="1" applyFill="1" applyBorder="1"/>
    <xf numFmtId="0" fontId="20" fillId="13" borderId="1" xfId="0" applyFont="1" applyFill="1" applyBorder="1"/>
    <xf numFmtId="0" fontId="7" fillId="13" borderId="1" xfId="0" applyFont="1" applyFill="1" applyBorder="1"/>
    <xf numFmtId="0" fontId="5" fillId="13" borderId="1" xfId="0" applyFont="1" applyFill="1" applyBorder="1"/>
    <xf numFmtId="0" fontId="0" fillId="13" borderId="1" xfId="0" applyFill="1" applyBorder="1"/>
    <xf numFmtId="165" fontId="3" fillId="2" borderId="1" xfId="0" applyNumberFormat="1" applyFont="1" applyFill="1" applyBorder="1" applyAlignment="1">
      <alignment horizontal="center" vertical="center"/>
    </xf>
    <xf numFmtId="165" fontId="3" fillId="2" borderId="1" xfId="1" applyFont="1" applyFill="1" applyBorder="1" applyAlignment="1">
      <alignment horizontal="center" vertical="center"/>
    </xf>
    <xf numFmtId="0" fontId="0" fillId="9" borderId="45" xfId="0" applyFill="1" applyBorder="1" applyAlignment="1">
      <alignment horizontal="left" vertical="center" wrapText="1"/>
    </xf>
    <xf numFmtId="0" fontId="29" fillId="0" borderId="0" xfId="0" applyFont="1"/>
    <xf numFmtId="0" fontId="13" fillId="0" borderId="9" xfId="0" applyFont="1" applyFill="1" applyBorder="1" applyAlignment="1" applyProtection="1">
      <alignment vertical="center" wrapText="1"/>
      <protection locked="0"/>
    </xf>
    <xf numFmtId="0" fontId="0" fillId="27" borderId="1" xfId="0" applyFill="1" applyBorder="1"/>
    <xf numFmtId="0" fontId="0" fillId="28" borderId="1" xfId="0" applyFill="1" applyBorder="1"/>
    <xf numFmtId="0" fontId="0" fillId="13" borderId="1" xfId="0" applyFont="1" applyFill="1" applyBorder="1"/>
    <xf numFmtId="0" fontId="30" fillId="29" borderId="1" xfId="0" applyFont="1" applyFill="1" applyBorder="1"/>
    <xf numFmtId="0" fontId="31" fillId="29" borderId="1" xfId="0" applyFont="1" applyFill="1" applyBorder="1"/>
    <xf numFmtId="0" fontId="32" fillId="29" borderId="1" xfId="0" applyFont="1" applyFill="1" applyBorder="1"/>
    <xf numFmtId="0" fontId="25" fillId="29" borderId="1" xfId="0" applyFont="1" applyFill="1" applyBorder="1"/>
    <xf numFmtId="0" fontId="20" fillId="30" borderId="1" xfId="0" applyFont="1" applyFill="1" applyBorder="1"/>
    <xf numFmtId="0" fontId="7" fillId="30" borderId="1" xfId="0" applyFont="1" applyFill="1" applyBorder="1"/>
    <xf numFmtId="0" fontId="5" fillId="30" borderId="1" xfId="0" applyFont="1" applyFill="1" applyBorder="1"/>
    <xf numFmtId="0" fontId="0" fillId="30" borderId="1" xfId="0" applyFont="1" applyFill="1" applyBorder="1"/>
    <xf numFmtId="0" fontId="0" fillId="30" borderId="1" xfId="0" applyFill="1" applyBorder="1"/>
    <xf numFmtId="0" fontId="20" fillId="31" borderId="1" xfId="0" applyFont="1" applyFill="1" applyBorder="1"/>
    <xf numFmtId="0" fontId="7" fillId="31" borderId="1" xfId="0" applyFont="1" applyFill="1" applyBorder="1"/>
    <xf numFmtId="0" fontId="5" fillId="31" borderId="1" xfId="0" applyFont="1" applyFill="1" applyBorder="1"/>
    <xf numFmtId="0" fontId="0" fillId="31" borderId="1" xfId="0" applyFont="1" applyFill="1" applyBorder="1"/>
    <xf numFmtId="165" fontId="0" fillId="9" borderId="1" xfId="0" applyNumberFormat="1" applyFill="1" applyBorder="1"/>
    <xf numFmtId="170" fontId="14" fillId="9" borderId="1" xfId="0" applyNumberFormat="1" applyFont="1" applyFill="1" applyBorder="1" applyAlignment="1">
      <alignment vertical="center" wrapText="1"/>
    </xf>
    <xf numFmtId="0" fontId="0" fillId="32" borderId="1" xfId="0" applyFill="1" applyBorder="1" applyAlignment="1">
      <alignment horizontal="left" vertical="center"/>
    </xf>
    <xf numFmtId="0" fontId="0" fillId="32" borderId="1" xfId="0" applyFill="1" applyBorder="1" applyAlignment="1">
      <alignment vertical="center"/>
    </xf>
    <xf numFmtId="167" fontId="7" fillId="0" borderId="0" xfId="0" applyNumberFormat="1" applyFont="1" applyFill="1" applyAlignment="1"/>
    <xf numFmtId="0" fontId="7" fillId="0" borderId="0" xfId="0" applyFont="1" applyFill="1" applyAlignment="1">
      <alignment vertical="center"/>
    </xf>
    <xf numFmtId="166" fontId="7" fillId="0" borderId="0" xfId="1" applyNumberFormat="1" applyFont="1" applyFill="1" applyAlignment="1">
      <alignment vertical="center"/>
    </xf>
    <xf numFmtId="165" fontId="0" fillId="4" borderId="1" xfId="1" applyFont="1" applyFill="1" applyBorder="1"/>
    <xf numFmtId="0" fontId="0" fillId="0" borderId="1" xfId="0" applyBorder="1" applyAlignment="1">
      <alignment horizontal="left" vertical="center" wrapText="1"/>
    </xf>
    <xf numFmtId="0" fontId="0" fillId="0" borderId="2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3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 textRotation="90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165" fontId="0" fillId="9" borderId="1" xfId="1" applyFont="1" applyFill="1" applyBorder="1" applyAlignment="1">
      <alignment horizontal="center" vertical="center"/>
    </xf>
    <xf numFmtId="0" fontId="28" fillId="0" borderId="33" xfId="0" applyFont="1" applyBorder="1" applyAlignment="1">
      <alignment horizontal="left" vertical="center"/>
    </xf>
    <xf numFmtId="0" fontId="28" fillId="0" borderId="45" xfId="0" applyFont="1" applyBorder="1" applyAlignment="1">
      <alignment horizontal="left" vertical="center"/>
    </xf>
    <xf numFmtId="0" fontId="28" fillId="0" borderId="30" xfId="0" applyFont="1" applyBorder="1" applyAlignment="1">
      <alignment horizontal="left" vertical="center"/>
    </xf>
    <xf numFmtId="0" fontId="28" fillId="0" borderId="33" xfId="0" applyFont="1" applyBorder="1" applyAlignment="1">
      <alignment horizontal="left" vertical="center" wrapText="1"/>
    </xf>
    <xf numFmtId="0" fontId="28" fillId="0" borderId="45" xfId="0" applyFont="1" applyBorder="1" applyAlignment="1">
      <alignment horizontal="left" vertical="center" wrapText="1"/>
    </xf>
    <xf numFmtId="0" fontId="28" fillId="0" borderId="30" xfId="0" applyFont="1" applyBorder="1" applyAlignment="1">
      <alignment horizontal="left" vertical="center" wrapText="1"/>
    </xf>
    <xf numFmtId="0" fontId="13" fillId="9" borderId="1" xfId="0" applyFont="1" applyFill="1" applyBorder="1" applyAlignment="1" applyProtection="1">
      <alignment horizontal="left" vertical="center" wrapText="1"/>
      <protection locked="0"/>
    </xf>
    <xf numFmtId="0" fontId="13" fillId="9" borderId="2" xfId="0" applyFont="1" applyFill="1" applyBorder="1" applyAlignment="1" applyProtection="1">
      <alignment horizontal="left" vertical="center" wrapText="1"/>
      <protection locked="0"/>
    </xf>
    <xf numFmtId="0" fontId="13" fillId="9" borderId="3" xfId="0" applyFont="1" applyFill="1" applyBorder="1" applyAlignment="1" applyProtection="1">
      <alignment horizontal="left" vertical="center" wrapText="1"/>
      <protection locked="0"/>
    </xf>
    <xf numFmtId="0" fontId="13" fillId="9" borderId="4" xfId="0" applyFont="1" applyFill="1" applyBorder="1" applyAlignment="1" applyProtection="1">
      <alignment horizontal="left" vertical="center" wrapText="1"/>
      <protection locked="0"/>
    </xf>
    <xf numFmtId="0" fontId="5" fillId="9" borderId="2" xfId="0" applyFont="1" applyFill="1" applyBorder="1" applyAlignment="1">
      <alignment horizontal="left" vertical="center" wrapText="1"/>
    </xf>
    <xf numFmtId="0" fontId="5" fillId="9" borderId="3" xfId="0" applyFont="1" applyFill="1" applyBorder="1" applyAlignment="1">
      <alignment horizontal="left" vertical="center" wrapText="1"/>
    </xf>
    <xf numFmtId="0" fontId="5" fillId="9" borderId="4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/>
    </xf>
    <xf numFmtId="0" fontId="23" fillId="0" borderId="1" xfId="0" applyFont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26" fillId="0" borderId="41" xfId="0" applyFont="1" applyBorder="1" applyAlignment="1">
      <alignment horizontal="center"/>
    </xf>
    <xf numFmtId="0" fontId="28" fillId="0" borderId="42" xfId="0" applyFont="1" applyBorder="1" applyAlignment="1">
      <alignment horizontal="left" vertical="center"/>
    </xf>
    <xf numFmtId="0" fontId="28" fillId="0" borderId="43" xfId="0" applyFont="1" applyBorder="1" applyAlignment="1">
      <alignment horizontal="left" vertical="center"/>
    </xf>
    <xf numFmtId="0" fontId="28" fillId="0" borderId="44" xfId="0" applyFont="1" applyBorder="1" applyAlignment="1">
      <alignment horizontal="left" vertical="center"/>
    </xf>
    <xf numFmtId="0" fontId="0" fillId="0" borderId="45" xfId="0" applyBorder="1" applyAlignment="1">
      <alignment horizontal="left" vertical="center" wrapText="1"/>
    </xf>
    <xf numFmtId="0" fontId="0" fillId="0" borderId="30" xfId="0" applyBorder="1" applyAlignment="1">
      <alignment horizontal="left" vertical="center" wrapText="1"/>
    </xf>
    <xf numFmtId="0" fontId="16" fillId="10" borderId="0" xfId="0" applyFont="1" applyFill="1" applyBorder="1" applyAlignment="1">
      <alignment horizontal="center" vertical="center" wrapText="1"/>
    </xf>
    <xf numFmtId="0" fontId="16" fillId="10" borderId="28" xfId="0" applyFont="1" applyFill="1" applyBorder="1" applyAlignment="1">
      <alignment horizontal="center" vertical="center" wrapText="1"/>
    </xf>
    <xf numFmtId="0" fontId="15" fillId="10" borderId="0" xfId="0" applyFont="1" applyFill="1" applyBorder="1" applyAlignment="1">
      <alignment horizontal="center"/>
    </xf>
    <xf numFmtId="0" fontId="16" fillId="10" borderId="37" xfId="0" applyFont="1" applyFill="1" applyBorder="1" applyAlignment="1">
      <alignment horizontal="center" vertical="center" wrapText="1"/>
    </xf>
    <xf numFmtId="0" fontId="16" fillId="10" borderId="13" xfId="0" applyFont="1" applyFill="1" applyBorder="1" applyAlignment="1">
      <alignment horizontal="center" vertical="center" wrapText="1"/>
    </xf>
    <xf numFmtId="0" fontId="10" fillId="10" borderId="37" xfId="0" applyFont="1" applyFill="1" applyBorder="1" applyAlignment="1">
      <alignment horizontal="center" wrapText="1"/>
    </xf>
    <xf numFmtId="0" fontId="10" fillId="10" borderId="15" xfId="0" applyFont="1" applyFill="1" applyBorder="1" applyAlignment="1">
      <alignment horizontal="center" wrapText="1"/>
    </xf>
    <xf numFmtId="0" fontId="16" fillId="10" borderId="25" xfId="0" applyFont="1" applyFill="1" applyBorder="1" applyAlignment="1">
      <alignment horizontal="center" vertical="center" wrapText="1"/>
    </xf>
    <xf numFmtId="0" fontId="16" fillId="10" borderId="19" xfId="0" applyFont="1" applyFill="1" applyBorder="1" applyAlignment="1">
      <alignment horizontal="center" vertical="center" wrapText="1"/>
    </xf>
    <xf numFmtId="0" fontId="16" fillId="10" borderId="24" xfId="0" applyFont="1" applyFill="1" applyBorder="1" applyAlignment="1">
      <alignment horizontal="center" vertical="center" wrapText="1"/>
    </xf>
    <xf numFmtId="0" fontId="16" fillId="10" borderId="1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left" vertical="center" wrapText="1"/>
    </xf>
    <xf numFmtId="0" fontId="0" fillId="0" borderId="7" xfId="0" applyBorder="1" applyAlignment="1">
      <alignment horizontal="center" vertical="center" textRotation="90" wrapText="1"/>
    </xf>
    <xf numFmtId="0" fontId="0" fillId="0" borderId="8" xfId="0" applyBorder="1" applyAlignment="1">
      <alignment horizontal="center" vertical="center" textRotation="90" wrapText="1"/>
    </xf>
    <xf numFmtId="0" fontId="0" fillId="0" borderId="5" xfId="0" applyBorder="1" applyAlignment="1">
      <alignment horizontal="center" vertical="center" textRotation="90" wrapText="1"/>
    </xf>
    <xf numFmtId="0" fontId="10" fillId="10" borderId="0" xfId="0" applyFont="1" applyFill="1" applyBorder="1" applyAlignment="1">
      <alignment horizontal="left" vertical="center" wrapText="1"/>
    </xf>
    <xf numFmtId="0" fontId="10" fillId="10" borderId="0" xfId="0" applyFont="1" applyFill="1" applyBorder="1" applyAlignment="1">
      <alignment horizontal="left" vertical="center"/>
    </xf>
    <xf numFmtId="0" fontId="10" fillId="10" borderId="14" xfId="0" applyFont="1" applyFill="1" applyBorder="1" applyAlignment="1">
      <alignment horizontal="center" vertical="center" wrapText="1"/>
    </xf>
    <xf numFmtId="0" fontId="10" fillId="10" borderId="0" xfId="0" applyFont="1" applyFill="1" applyBorder="1" applyAlignment="1">
      <alignment horizontal="center" vertical="center" wrapText="1"/>
    </xf>
    <xf numFmtId="0" fontId="10" fillId="10" borderId="28" xfId="0" applyFont="1" applyFill="1" applyBorder="1" applyAlignment="1">
      <alignment horizontal="center" vertical="center" wrapText="1"/>
    </xf>
    <xf numFmtId="0" fontId="10" fillId="10" borderId="13" xfId="0" applyFont="1" applyFill="1" applyBorder="1" applyAlignment="1">
      <alignment horizontal="center" vertical="center" wrapText="1"/>
    </xf>
    <xf numFmtId="0" fontId="10" fillId="10" borderId="10" xfId="0" applyFont="1" applyFill="1" applyBorder="1" applyAlignment="1">
      <alignment horizontal="center" vertical="center" wrapText="1"/>
    </xf>
    <xf numFmtId="0" fontId="10" fillId="10" borderId="6" xfId="0" applyFont="1" applyFill="1" applyBorder="1" applyAlignment="1">
      <alignment horizontal="center" vertical="center" wrapText="1"/>
    </xf>
    <xf numFmtId="0" fontId="10" fillId="10" borderId="7" xfId="0" applyFont="1" applyFill="1" applyBorder="1" applyAlignment="1">
      <alignment horizontal="center" vertical="center" wrapText="1"/>
    </xf>
    <xf numFmtId="0" fontId="10" fillId="10" borderId="5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left" vertical="center" wrapText="1"/>
    </xf>
    <xf numFmtId="0" fontId="16" fillId="10" borderId="1" xfId="0" applyFont="1" applyFill="1" applyBorder="1" applyAlignment="1">
      <alignment horizontal="center" vertical="center" wrapText="1"/>
    </xf>
    <xf numFmtId="0" fontId="10" fillId="10" borderId="1" xfId="0" applyFont="1" applyFill="1" applyBorder="1" applyAlignment="1">
      <alignment horizontal="center" vertical="center" wrapText="1"/>
    </xf>
    <xf numFmtId="0" fontId="10" fillId="10" borderId="1" xfId="0" applyFont="1" applyFill="1" applyBorder="1" applyAlignment="1">
      <alignment horizontal="center" wrapText="1"/>
    </xf>
    <xf numFmtId="0" fontId="0" fillId="0" borderId="0" xfId="0" applyAlignment="1">
      <alignment horizontal="left" wrapText="1"/>
    </xf>
    <xf numFmtId="0" fontId="0" fillId="0" borderId="0" xfId="0" applyAlignment="1">
      <alignment horizontal="left" vertical="center" wrapText="1"/>
    </xf>
    <xf numFmtId="0" fontId="0" fillId="9" borderId="1" xfId="0" applyFill="1" applyBorder="1" applyAlignment="1">
      <alignment horizontal="left" vertical="center"/>
    </xf>
    <xf numFmtId="0" fontId="3" fillId="4" borderId="1" xfId="0" applyFont="1" applyFill="1" applyBorder="1" applyAlignment="1">
      <alignment horizontal="left" vertical="center"/>
    </xf>
    <xf numFmtId="0" fontId="0" fillId="0" borderId="1" xfId="0" applyBorder="1" applyAlignment="1">
      <alignment horizontal="left"/>
    </xf>
    <xf numFmtId="0" fontId="3" fillId="0" borderId="1" xfId="0" applyFont="1" applyBorder="1" applyAlignment="1">
      <alignment horizontal="left"/>
    </xf>
    <xf numFmtId="10" fontId="0" fillId="0" borderId="1" xfId="2" applyNumberFormat="1" applyFont="1" applyBorder="1" applyAlignment="1">
      <alignment horizontal="right" vertical="center"/>
    </xf>
    <xf numFmtId="0" fontId="3" fillId="4" borderId="1" xfId="0" applyFont="1" applyFill="1" applyBorder="1" applyAlignment="1">
      <alignment horizontal="center"/>
    </xf>
    <xf numFmtId="0" fontId="3" fillId="4" borderId="2" xfId="0" applyFont="1" applyFill="1" applyBorder="1" applyAlignment="1">
      <alignment horizontal="left" vertical="center"/>
    </xf>
    <xf numFmtId="0" fontId="3" fillId="4" borderId="3" xfId="0" applyFont="1" applyFill="1" applyBorder="1" applyAlignment="1">
      <alignment horizontal="left" vertical="center"/>
    </xf>
    <xf numFmtId="0" fontId="3" fillId="4" borderId="4" xfId="0" applyFont="1" applyFill="1" applyBorder="1" applyAlignment="1">
      <alignment horizontal="left" vertical="center"/>
    </xf>
    <xf numFmtId="0" fontId="3" fillId="2" borderId="2" xfId="0" applyFont="1" applyFill="1" applyBorder="1" applyAlignment="1">
      <alignment horizontal="left" vertical="center"/>
    </xf>
    <xf numFmtId="0" fontId="3" fillId="2" borderId="3" xfId="0" applyFont="1" applyFill="1" applyBorder="1" applyAlignment="1">
      <alignment horizontal="left" vertical="center"/>
    </xf>
    <xf numFmtId="0" fontId="3" fillId="2" borderId="4" xfId="0" applyFont="1" applyFill="1" applyBorder="1" applyAlignment="1">
      <alignment horizontal="left" vertical="center"/>
    </xf>
    <xf numFmtId="0" fontId="0" fillId="0" borderId="1" xfId="0" applyFont="1" applyFill="1" applyBorder="1" applyAlignment="1">
      <alignment horizontal="left" vertical="center"/>
    </xf>
    <xf numFmtId="0" fontId="3" fillId="4" borderId="1" xfId="0" applyFont="1" applyFill="1" applyBorder="1" applyAlignment="1">
      <alignment horizontal="left" vertical="center" wrapText="1"/>
    </xf>
    <xf numFmtId="0" fontId="0" fillId="0" borderId="2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0" fillId="0" borderId="2" xfId="0" applyBorder="1" applyAlignment="1">
      <alignment horizontal="left"/>
    </xf>
    <xf numFmtId="0" fontId="0" fillId="0" borderId="4" xfId="0" applyBorder="1" applyAlignment="1">
      <alignment horizontal="left"/>
    </xf>
    <xf numFmtId="0" fontId="3" fillId="6" borderId="2" xfId="0" applyFont="1" applyFill="1" applyBorder="1" applyAlignment="1">
      <alignment horizontal="left"/>
    </xf>
    <xf numFmtId="0" fontId="3" fillId="6" borderId="4" xfId="0" applyFont="1" applyFill="1" applyBorder="1" applyAlignment="1">
      <alignment horizontal="left"/>
    </xf>
    <xf numFmtId="0" fontId="3" fillId="2" borderId="1" xfId="0" applyFont="1" applyFill="1" applyBorder="1" applyAlignment="1">
      <alignment horizontal="left" vertical="center"/>
    </xf>
    <xf numFmtId="0" fontId="0" fillId="0" borderId="2" xfId="0" applyFill="1" applyBorder="1" applyAlignment="1">
      <alignment horizontal="left" vertical="center"/>
    </xf>
    <xf numFmtId="0" fontId="0" fillId="0" borderId="4" xfId="0" applyFill="1" applyBorder="1" applyAlignment="1">
      <alignment horizontal="left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12" borderId="2" xfId="0" applyFont="1" applyFill="1" applyBorder="1" applyAlignment="1">
      <alignment horizontal="center" vertical="center" wrapText="1"/>
    </xf>
    <xf numFmtId="0" fontId="3" fillId="12" borderId="4" xfId="0" applyFont="1" applyFill="1" applyBorder="1" applyAlignment="1">
      <alignment horizontal="center" vertical="center" wrapText="1"/>
    </xf>
    <xf numFmtId="0" fontId="0" fillId="12" borderId="2" xfId="0" applyFill="1" applyBorder="1" applyAlignment="1">
      <alignment horizontal="right" vertical="center"/>
    </xf>
    <xf numFmtId="0" fontId="0" fillId="12" borderId="4" xfId="0" applyFill="1" applyBorder="1" applyAlignment="1">
      <alignment horizontal="right" vertical="center"/>
    </xf>
    <xf numFmtId="165" fontId="0" fillId="9" borderId="1" xfId="1" applyFont="1" applyFill="1" applyBorder="1" applyAlignment="1">
      <alignment horizontal="left" vertical="center"/>
    </xf>
    <xf numFmtId="0" fontId="0" fillId="12" borderId="2" xfId="0" applyFill="1" applyBorder="1" applyAlignment="1">
      <alignment horizontal="left" vertical="center" wrapText="1"/>
    </xf>
    <xf numFmtId="0" fontId="0" fillId="12" borderId="4" xfId="0" applyFill="1" applyBorder="1" applyAlignment="1">
      <alignment horizontal="left" vertical="center" wrapText="1"/>
    </xf>
    <xf numFmtId="17" fontId="0" fillId="12" borderId="2" xfId="0" applyNumberFormat="1" applyFill="1" applyBorder="1" applyAlignment="1">
      <alignment horizontal="right" vertical="center"/>
    </xf>
    <xf numFmtId="0" fontId="0" fillId="0" borderId="2" xfId="0" applyFill="1" applyBorder="1" applyAlignment="1">
      <alignment horizontal="left"/>
    </xf>
    <xf numFmtId="0" fontId="0" fillId="0" borderId="4" xfId="0" applyFill="1" applyBorder="1" applyAlignment="1">
      <alignment horizontal="left"/>
    </xf>
    <xf numFmtId="0" fontId="0" fillId="0" borderId="2" xfId="0" applyFill="1" applyBorder="1" applyAlignment="1">
      <alignment horizontal="left" vertical="center" wrapText="1"/>
    </xf>
    <xf numFmtId="0" fontId="0" fillId="0" borderId="4" xfId="0" applyFill="1" applyBorder="1" applyAlignment="1">
      <alignment horizontal="left" vertical="center" wrapText="1"/>
    </xf>
    <xf numFmtId="0" fontId="0" fillId="0" borderId="1" xfId="0" applyFill="1" applyBorder="1" applyAlignment="1">
      <alignment horizontal="left" vertical="center" wrapText="1"/>
    </xf>
    <xf numFmtId="0" fontId="10" fillId="8" borderId="0" xfId="0" applyFont="1" applyFill="1" applyAlignment="1">
      <alignment horizontal="left"/>
    </xf>
    <xf numFmtId="0" fontId="3" fillId="4" borderId="1" xfId="0" applyFont="1" applyFill="1" applyBorder="1" applyAlignment="1">
      <alignment horizontal="left"/>
    </xf>
    <xf numFmtId="0" fontId="3" fillId="6" borderId="2" xfId="0" applyFont="1" applyFill="1" applyBorder="1" applyAlignment="1">
      <alignment horizontal="left" vertical="center"/>
    </xf>
    <xf numFmtId="0" fontId="3" fillId="6" borderId="3" xfId="0" applyFont="1" applyFill="1" applyBorder="1" applyAlignment="1">
      <alignment horizontal="left" vertical="center"/>
    </xf>
    <xf numFmtId="0" fontId="3" fillId="6" borderId="4" xfId="0" applyFont="1" applyFill="1" applyBorder="1" applyAlignment="1">
      <alignment horizontal="left" vertical="center"/>
    </xf>
    <xf numFmtId="0" fontId="3" fillId="6" borderId="2" xfId="0" applyFont="1" applyFill="1" applyBorder="1" applyAlignment="1">
      <alignment horizontal="left" vertical="center" wrapText="1"/>
    </xf>
    <xf numFmtId="0" fontId="3" fillId="6" borderId="3" xfId="0" applyFont="1" applyFill="1" applyBorder="1" applyAlignment="1">
      <alignment horizontal="left" vertical="center" wrapText="1"/>
    </xf>
    <xf numFmtId="0" fontId="3" fillId="6" borderId="4" xfId="0" applyFont="1" applyFill="1" applyBorder="1" applyAlignment="1">
      <alignment horizontal="left" vertical="center" wrapText="1"/>
    </xf>
    <xf numFmtId="0" fontId="3" fillId="7" borderId="1" xfId="0" applyFont="1" applyFill="1" applyBorder="1" applyAlignment="1">
      <alignment horizontal="center"/>
    </xf>
    <xf numFmtId="0" fontId="19" fillId="12" borderId="0" xfId="0" applyFont="1" applyFill="1" applyAlignment="1">
      <alignment horizontal="center"/>
    </xf>
    <xf numFmtId="0" fontId="3" fillId="4" borderId="1" xfId="0" applyFont="1" applyFill="1" applyBorder="1" applyAlignment="1">
      <alignment horizontal="center" vertical="center"/>
    </xf>
    <xf numFmtId="0" fontId="3" fillId="4" borderId="2" xfId="0" applyFont="1" applyFill="1" applyBorder="1" applyAlignment="1">
      <alignment horizontal="left"/>
    </xf>
    <xf numFmtId="0" fontId="3" fillId="4" borderId="4" xfId="0" applyFont="1" applyFill="1" applyBorder="1" applyAlignment="1">
      <alignment horizontal="left"/>
    </xf>
    <xf numFmtId="0" fontId="3" fillId="2" borderId="1" xfId="0" applyFont="1" applyFill="1" applyBorder="1" applyAlignment="1">
      <alignment horizontal="left"/>
    </xf>
    <xf numFmtId="0" fontId="3" fillId="4" borderId="2" xfId="0" applyFont="1" applyFill="1" applyBorder="1" applyAlignment="1">
      <alignment horizontal="center" wrapText="1"/>
    </xf>
    <xf numFmtId="0" fontId="3" fillId="4" borderId="3" xfId="0" applyFont="1" applyFill="1" applyBorder="1" applyAlignment="1">
      <alignment horizontal="center" wrapText="1"/>
    </xf>
    <xf numFmtId="0" fontId="3" fillId="4" borderId="4" xfId="0" applyFont="1" applyFill="1" applyBorder="1" applyAlignment="1">
      <alignment horizontal="center" wrapText="1"/>
    </xf>
    <xf numFmtId="0" fontId="3" fillId="6" borderId="1" xfId="0" applyFont="1" applyFill="1" applyBorder="1" applyAlignment="1">
      <alignment horizontal="left"/>
    </xf>
    <xf numFmtId="0" fontId="0" fillId="0" borderId="1" xfId="0" applyBorder="1" applyAlignment="1">
      <alignment horizontal="left" vertical="top" wrapText="1"/>
    </xf>
    <xf numFmtId="0" fontId="3" fillId="4" borderId="1" xfId="0" applyFont="1" applyFill="1" applyBorder="1" applyAlignment="1">
      <alignment horizontal="center" wrapText="1"/>
    </xf>
    <xf numFmtId="0" fontId="3" fillId="4" borderId="2" xfId="0" applyFont="1" applyFill="1" applyBorder="1" applyAlignment="1">
      <alignment horizontal="left" wrapText="1"/>
    </xf>
    <xf numFmtId="0" fontId="3" fillId="4" borderId="3" xfId="0" applyFont="1" applyFill="1" applyBorder="1" applyAlignment="1">
      <alignment horizontal="left" wrapText="1"/>
    </xf>
    <xf numFmtId="0" fontId="3" fillId="4" borderId="4" xfId="0" applyFont="1" applyFill="1" applyBorder="1" applyAlignment="1">
      <alignment horizontal="left" wrapText="1"/>
    </xf>
    <xf numFmtId="0" fontId="3" fillId="13" borderId="2" xfId="0" applyFont="1" applyFill="1" applyBorder="1" applyAlignment="1">
      <alignment horizontal="center" vertical="center" wrapText="1"/>
    </xf>
    <xf numFmtId="0" fontId="3" fillId="13" borderId="4" xfId="0" applyFont="1" applyFill="1" applyBorder="1" applyAlignment="1">
      <alignment horizontal="center" vertical="center" wrapText="1"/>
    </xf>
    <xf numFmtId="0" fontId="0" fillId="13" borderId="2" xfId="0" applyFill="1" applyBorder="1" applyAlignment="1">
      <alignment horizontal="right" vertical="center" wrapText="1"/>
    </xf>
    <xf numFmtId="0" fontId="0" fillId="13" borderId="4" xfId="0" applyFill="1" applyBorder="1" applyAlignment="1">
      <alignment horizontal="right" vertical="center" wrapText="1"/>
    </xf>
    <xf numFmtId="0" fontId="0" fillId="13" borderId="2" xfId="0" applyFill="1" applyBorder="1" applyAlignment="1">
      <alignment horizontal="left" vertical="center" wrapText="1"/>
    </xf>
    <xf numFmtId="0" fontId="0" fillId="13" borderId="4" xfId="0" applyFill="1" applyBorder="1" applyAlignment="1">
      <alignment horizontal="left" vertical="center" wrapText="1"/>
    </xf>
    <xf numFmtId="17" fontId="0" fillId="13" borderId="1" xfId="0" applyNumberFormat="1" applyFill="1" applyBorder="1" applyAlignment="1">
      <alignment horizontal="right" vertical="center"/>
    </xf>
    <xf numFmtId="0" fontId="0" fillId="13" borderId="1" xfId="0" applyFill="1" applyBorder="1" applyAlignment="1">
      <alignment horizontal="right" vertical="center"/>
    </xf>
    <xf numFmtId="0" fontId="10" fillId="8" borderId="1" xfId="0" applyFont="1" applyFill="1" applyBorder="1" applyAlignment="1">
      <alignment horizontal="left"/>
    </xf>
    <xf numFmtId="0" fontId="19" fillId="13" borderId="0" xfId="0" applyFont="1" applyFill="1" applyAlignment="1">
      <alignment horizontal="center"/>
    </xf>
    <xf numFmtId="0" fontId="3" fillId="14" borderId="2" xfId="0" applyFont="1" applyFill="1" applyBorder="1" applyAlignment="1">
      <alignment horizontal="center" vertical="center" wrapText="1"/>
    </xf>
    <xf numFmtId="0" fontId="3" fillId="14" borderId="4" xfId="0" applyFont="1" applyFill="1" applyBorder="1" applyAlignment="1">
      <alignment horizontal="center" vertical="center" wrapText="1"/>
    </xf>
    <xf numFmtId="0" fontId="0" fillId="14" borderId="2" xfId="0" applyFill="1" applyBorder="1" applyAlignment="1">
      <alignment horizontal="right" vertical="center"/>
    </xf>
    <xf numFmtId="0" fontId="0" fillId="14" borderId="4" xfId="0" applyFill="1" applyBorder="1" applyAlignment="1">
      <alignment horizontal="right" vertical="center"/>
    </xf>
    <xf numFmtId="0" fontId="0" fillId="14" borderId="2" xfId="0" applyFill="1" applyBorder="1" applyAlignment="1">
      <alignment horizontal="left" vertical="center" wrapText="1"/>
    </xf>
    <xf numFmtId="0" fontId="0" fillId="14" borderId="4" xfId="0" applyFill="1" applyBorder="1" applyAlignment="1">
      <alignment horizontal="left" vertical="center" wrapText="1"/>
    </xf>
    <xf numFmtId="17" fontId="0" fillId="14" borderId="2" xfId="0" applyNumberFormat="1" applyFill="1" applyBorder="1" applyAlignment="1">
      <alignment horizontal="right" vertical="center"/>
    </xf>
    <xf numFmtId="0" fontId="19" fillId="14" borderId="0" xfId="0" applyFont="1" applyFill="1" applyAlignment="1">
      <alignment horizontal="center"/>
    </xf>
    <xf numFmtId="0" fontId="3" fillId="15" borderId="2" xfId="0" applyFont="1" applyFill="1" applyBorder="1" applyAlignment="1">
      <alignment horizontal="center" vertical="center" wrapText="1"/>
    </xf>
    <xf numFmtId="0" fontId="3" fillId="15" borderId="4" xfId="0" applyFont="1" applyFill="1" applyBorder="1" applyAlignment="1">
      <alignment horizontal="center" vertical="center" wrapText="1"/>
    </xf>
    <xf numFmtId="0" fontId="0" fillId="15" borderId="2" xfId="0" applyFill="1" applyBorder="1" applyAlignment="1">
      <alignment horizontal="right" vertical="center" wrapText="1"/>
    </xf>
    <xf numFmtId="0" fontId="0" fillId="15" borderId="4" xfId="0" applyFill="1" applyBorder="1" applyAlignment="1">
      <alignment horizontal="right" vertical="center" wrapText="1"/>
    </xf>
    <xf numFmtId="0" fontId="0" fillId="15" borderId="2" xfId="0" applyFill="1" applyBorder="1" applyAlignment="1">
      <alignment horizontal="left" vertical="center" wrapText="1"/>
    </xf>
    <xf numFmtId="0" fontId="0" fillId="15" borderId="4" xfId="0" applyFill="1" applyBorder="1" applyAlignment="1">
      <alignment horizontal="left" vertical="center" wrapText="1"/>
    </xf>
    <xf numFmtId="17" fontId="0" fillId="15" borderId="1" xfId="0" applyNumberFormat="1" applyFill="1" applyBorder="1" applyAlignment="1">
      <alignment horizontal="right" vertical="center"/>
    </xf>
    <xf numFmtId="0" fontId="0" fillId="15" borderId="1" xfId="0" applyFill="1" applyBorder="1" applyAlignment="1">
      <alignment horizontal="right" vertical="center"/>
    </xf>
    <xf numFmtId="0" fontId="19" fillId="15" borderId="0" xfId="0" applyFont="1" applyFill="1" applyAlignment="1">
      <alignment horizontal="center"/>
    </xf>
    <xf numFmtId="0" fontId="3" fillId="16" borderId="2" xfId="0" applyFont="1" applyFill="1" applyBorder="1" applyAlignment="1">
      <alignment horizontal="center" vertical="center" wrapText="1"/>
    </xf>
    <xf numFmtId="0" fontId="3" fillId="16" borderId="4" xfId="0" applyFont="1" applyFill="1" applyBorder="1" applyAlignment="1">
      <alignment horizontal="center" vertical="center" wrapText="1"/>
    </xf>
    <xf numFmtId="0" fontId="0" fillId="16" borderId="2" xfId="0" applyFill="1" applyBorder="1" applyAlignment="1">
      <alignment horizontal="right" vertical="center"/>
    </xf>
    <xf numFmtId="0" fontId="0" fillId="16" borderId="4" xfId="0" applyFill="1" applyBorder="1" applyAlignment="1">
      <alignment horizontal="right" vertical="center"/>
    </xf>
    <xf numFmtId="0" fontId="0" fillId="16" borderId="2" xfId="0" applyFill="1" applyBorder="1" applyAlignment="1">
      <alignment horizontal="left" vertical="center" wrapText="1"/>
    </xf>
    <xf numFmtId="0" fontId="0" fillId="16" borderId="4" xfId="0" applyFill="1" applyBorder="1" applyAlignment="1">
      <alignment horizontal="left" vertical="center" wrapText="1"/>
    </xf>
    <xf numFmtId="17" fontId="0" fillId="16" borderId="2" xfId="0" applyNumberFormat="1" applyFill="1" applyBorder="1" applyAlignment="1">
      <alignment horizontal="right" vertical="center"/>
    </xf>
    <xf numFmtId="0" fontId="0" fillId="32" borderId="2" xfId="0" applyFill="1" applyBorder="1" applyAlignment="1">
      <alignment horizontal="left" vertical="center" wrapText="1"/>
    </xf>
    <xf numFmtId="0" fontId="0" fillId="32" borderId="4" xfId="0" applyFill="1" applyBorder="1" applyAlignment="1">
      <alignment horizontal="left" vertical="center" wrapText="1"/>
    </xf>
    <xf numFmtId="0" fontId="3" fillId="32" borderId="2" xfId="0" applyFont="1" applyFill="1" applyBorder="1" applyAlignment="1">
      <alignment horizontal="center" vertical="center" wrapText="1"/>
    </xf>
    <xf numFmtId="0" fontId="3" fillId="32" borderId="4" xfId="0" applyFont="1" applyFill="1" applyBorder="1" applyAlignment="1">
      <alignment horizontal="center" vertical="center" wrapText="1"/>
    </xf>
    <xf numFmtId="0" fontId="0" fillId="32" borderId="2" xfId="0" applyFill="1" applyBorder="1" applyAlignment="1">
      <alignment horizontal="right" vertical="center"/>
    </xf>
    <xf numFmtId="0" fontId="0" fillId="32" borderId="4" xfId="0" applyFill="1" applyBorder="1" applyAlignment="1">
      <alignment horizontal="right" vertical="center"/>
    </xf>
    <xf numFmtId="17" fontId="0" fillId="32" borderId="2" xfId="0" applyNumberFormat="1" applyFill="1" applyBorder="1" applyAlignment="1">
      <alignment horizontal="right" vertical="center"/>
    </xf>
    <xf numFmtId="0" fontId="19" fillId="32" borderId="0" xfId="0" applyFont="1" applyFill="1" applyAlignment="1">
      <alignment horizontal="center" wrapText="1"/>
    </xf>
    <xf numFmtId="0" fontId="3" fillId="17" borderId="2" xfId="0" applyFont="1" applyFill="1" applyBorder="1" applyAlignment="1">
      <alignment horizontal="center" vertical="center" wrapText="1"/>
    </xf>
    <xf numFmtId="0" fontId="3" fillId="17" borderId="4" xfId="0" applyFont="1" applyFill="1" applyBorder="1" applyAlignment="1">
      <alignment horizontal="center" vertical="center" wrapText="1"/>
    </xf>
    <xf numFmtId="0" fontId="0" fillId="17" borderId="2" xfId="0" applyFill="1" applyBorder="1" applyAlignment="1">
      <alignment horizontal="right" vertical="center"/>
    </xf>
    <xf numFmtId="0" fontId="0" fillId="17" borderId="4" xfId="0" applyFill="1" applyBorder="1" applyAlignment="1">
      <alignment horizontal="right" vertical="center"/>
    </xf>
    <xf numFmtId="0" fontId="0" fillId="17" borderId="2" xfId="0" applyFill="1" applyBorder="1" applyAlignment="1">
      <alignment horizontal="left" vertical="center" wrapText="1"/>
    </xf>
    <xf numFmtId="0" fontId="0" fillId="17" borderId="4" xfId="0" applyFill="1" applyBorder="1" applyAlignment="1">
      <alignment horizontal="left" vertical="center" wrapText="1"/>
    </xf>
    <xf numFmtId="17" fontId="0" fillId="17" borderId="2" xfId="0" applyNumberFormat="1" applyFill="1" applyBorder="1" applyAlignment="1">
      <alignment horizontal="right" vertical="center"/>
    </xf>
    <xf numFmtId="0" fontId="19" fillId="17" borderId="0" xfId="0" applyFont="1" applyFill="1" applyAlignment="1">
      <alignment horizontal="center"/>
    </xf>
    <xf numFmtId="0" fontId="0" fillId="19" borderId="2" xfId="0" applyFill="1" applyBorder="1" applyAlignment="1">
      <alignment horizontal="left" vertical="center" wrapText="1"/>
    </xf>
    <xf numFmtId="0" fontId="0" fillId="19" borderId="4" xfId="0" applyFill="1" applyBorder="1" applyAlignment="1">
      <alignment horizontal="left" vertical="center" wrapText="1"/>
    </xf>
    <xf numFmtId="0" fontId="3" fillId="19" borderId="2" xfId="0" applyFont="1" applyFill="1" applyBorder="1" applyAlignment="1">
      <alignment horizontal="center" vertical="center" wrapText="1"/>
    </xf>
    <xf numFmtId="0" fontId="3" fillId="19" borderId="4" xfId="0" applyFont="1" applyFill="1" applyBorder="1" applyAlignment="1">
      <alignment horizontal="center" vertical="center" wrapText="1"/>
    </xf>
    <xf numFmtId="0" fontId="0" fillId="19" borderId="2" xfId="0" applyFill="1" applyBorder="1" applyAlignment="1">
      <alignment horizontal="right" vertical="center"/>
    </xf>
    <xf numFmtId="0" fontId="0" fillId="19" borderId="4" xfId="0" applyFill="1" applyBorder="1" applyAlignment="1">
      <alignment horizontal="right" vertical="center"/>
    </xf>
    <xf numFmtId="17" fontId="0" fillId="19" borderId="2" xfId="0" applyNumberFormat="1" applyFill="1" applyBorder="1" applyAlignment="1">
      <alignment horizontal="right" vertical="center"/>
    </xf>
    <xf numFmtId="0" fontId="19" fillId="19" borderId="0" xfId="0" applyFont="1" applyFill="1" applyAlignment="1">
      <alignment horizontal="center"/>
    </xf>
    <xf numFmtId="0" fontId="3" fillId="21" borderId="2" xfId="0" applyFont="1" applyFill="1" applyBorder="1" applyAlignment="1">
      <alignment horizontal="center" vertical="center" wrapText="1"/>
    </xf>
    <xf numFmtId="0" fontId="3" fillId="21" borderId="4" xfId="0" applyFont="1" applyFill="1" applyBorder="1" applyAlignment="1">
      <alignment horizontal="center" vertical="center" wrapText="1"/>
    </xf>
    <xf numFmtId="0" fontId="0" fillId="21" borderId="2" xfId="0" applyFill="1" applyBorder="1" applyAlignment="1">
      <alignment horizontal="right" vertical="center"/>
    </xf>
    <xf numFmtId="0" fontId="0" fillId="21" borderId="4" xfId="0" applyFill="1" applyBorder="1" applyAlignment="1">
      <alignment horizontal="right" vertical="center"/>
    </xf>
    <xf numFmtId="0" fontId="0" fillId="21" borderId="2" xfId="0" applyFill="1" applyBorder="1" applyAlignment="1">
      <alignment horizontal="left" vertical="center" wrapText="1"/>
    </xf>
    <xf numFmtId="0" fontId="0" fillId="21" borderId="4" xfId="0" applyFill="1" applyBorder="1" applyAlignment="1">
      <alignment horizontal="left" vertical="center" wrapText="1"/>
    </xf>
    <xf numFmtId="17" fontId="0" fillId="21" borderId="2" xfId="0" applyNumberFormat="1" applyFill="1" applyBorder="1" applyAlignment="1">
      <alignment horizontal="right" vertical="center"/>
    </xf>
    <xf numFmtId="0" fontId="24" fillId="21" borderId="0" xfId="0" applyFont="1" applyFill="1" applyAlignment="1">
      <alignment horizontal="center" wrapText="1"/>
    </xf>
    <xf numFmtId="0" fontId="3" fillId="22" borderId="2" xfId="0" applyFont="1" applyFill="1" applyBorder="1" applyAlignment="1">
      <alignment horizontal="center" vertical="center" wrapText="1"/>
    </xf>
    <xf numFmtId="0" fontId="3" fillId="22" borderId="4" xfId="0" applyFont="1" applyFill="1" applyBorder="1" applyAlignment="1">
      <alignment horizontal="center" vertical="center" wrapText="1"/>
    </xf>
    <xf numFmtId="0" fontId="0" fillId="22" borderId="2" xfId="0" applyFill="1" applyBorder="1" applyAlignment="1">
      <alignment horizontal="right" vertical="center" wrapText="1"/>
    </xf>
    <xf numFmtId="0" fontId="0" fillId="22" borderId="4" xfId="0" applyFill="1" applyBorder="1" applyAlignment="1">
      <alignment horizontal="right" vertical="center" wrapText="1"/>
    </xf>
    <xf numFmtId="0" fontId="0" fillId="22" borderId="2" xfId="0" applyFill="1" applyBorder="1" applyAlignment="1">
      <alignment horizontal="left" vertical="center" wrapText="1"/>
    </xf>
    <xf numFmtId="0" fontId="0" fillId="22" borderId="4" xfId="0" applyFill="1" applyBorder="1" applyAlignment="1">
      <alignment horizontal="left" vertical="center" wrapText="1"/>
    </xf>
    <xf numFmtId="17" fontId="0" fillId="22" borderId="1" xfId="0" applyNumberFormat="1" applyFill="1" applyBorder="1" applyAlignment="1">
      <alignment horizontal="right" vertical="center"/>
    </xf>
    <xf numFmtId="0" fontId="0" fillId="22" borderId="1" xfId="0" applyFill="1" applyBorder="1" applyAlignment="1">
      <alignment horizontal="right" vertical="center"/>
    </xf>
    <xf numFmtId="0" fontId="19" fillId="22" borderId="0" xfId="0" applyFont="1" applyFill="1" applyAlignment="1">
      <alignment horizontal="center" wrapText="1"/>
    </xf>
    <xf numFmtId="17" fontId="0" fillId="20" borderId="2" xfId="0" applyNumberFormat="1" applyFill="1" applyBorder="1" applyAlignment="1">
      <alignment horizontal="right" vertical="center"/>
    </xf>
    <xf numFmtId="0" fontId="0" fillId="20" borderId="4" xfId="0" applyFill="1" applyBorder="1" applyAlignment="1">
      <alignment horizontal="right" vertical="center"/>
    </xf>
    <xf numFmtId="0" fontId="0" fillId="20" borderId="2" xfId="0" applyFill="1" applyBorder="1" applyAlignment="1">
      <alignment horizontal="left" vertical="center" wrapText="1"/>
    </xf>
    <xf numFmtId="0" fontId="0" fillId="20" borderId="4" xfId="0" applyFill="1" applyBorder="1" applyAlignment="1">
      <alignment horizontal="left" vertical="center" wrapText="1"/>
    </xf>
    <xf numFmtId="0" fontId="3" fillId="20" borderId="2" xfId="0" applyFont="1" applyFill="1" applyBorder="1" applyAlignment="1">
      <alignment horizontal="center" vertical="center" wrapText="1"/>
    </xf>
    <xf numFmtId="0" fontId="3" fillId="20" borderId="4" xfId="0" applyFont="1" applyFill="1" applyBorder="1" applyAlignment="1">
      <alignment horizontal="center" vertical="center" wrapText="1"/>
    </xf>
    <xf numFmtId="0" fontId="0" fillId="20" borderId="2" xfId="0" applyFill="1" applyBorder="1" applyAlignment="1">
      <alignment horizontal="right" vertical="center"/>
    </xf>
    <xf numFmtId="0" fontId="19" fillId="20" borderId="0" xfId="0" applyFont="1" applyFill="1" applyAlignment="1">
      <alignment horizontal="center" wrapText="1"/>
    </xf>
    <xf numFmtId="0" fontId="9" fillId="0" borderId="0" xfId="0" applyFont="1" applyFill="1" applyBorder="1" applyAlignment="1">
      <alignment vertical="center" wrapText="1"/>
    </xf>
    <xf numFmtId="0" fontId="6" fillId="0" borderId="2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top"/>
    </xf>
    <xf numFmtId="0" fontId="6" fillId="0" borderId="3" xfId="0" applyFont="1" applyFill="1" applyBorder="1" applyAlignment="1">
      <alignment horizontal="center" vertical="top"/>
    </xf>
    <xf numFmtId="0" fontId="6" fillId="0" borderId="4" xfId="0" applyFont="1" applyFill="1" applyBorder="1" applyAlignment="1">
      <alignment horizontal="center" vertical="top"/>
    </xf>
  </cellXfs>
  <cellStyles count="3">
    <cellStyle name="Moeda" xfId="1" builtinId="4"/>
    <cellStyle name="Normal" xfId="0" builtinId="0"/>
    <cellStyle name="Porcentagem" xfId="2" builtinId="5"/>
  </cellStyles>
  <dxfs count="0"/>
  <tableStyles count="0" defaultTableStyle="TableStyleMedium9" defaultPivotStyle="PivotStyleLight16"/>
  <colors>
    <mruColors>
      <color rgb="FFFF33CC"/>
      <color rgb="FFEB714B"/>
      <color rgb="FFFF0000"/>
      <color rgb="FF77E57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75"/>
  <sheetViews>
    <sheetView tabSelected="1" topLeftCell="A7" workbookViewId="0">
      <selection activeCell="H48" sqref="H48"/>
    </sheetView>
  </sheetViews>
  <sheetFormatPr defaultRowHeight="12.75" x14ac:dyDescent="0.2"/>
  <cols>
    <col min="1" max="1" width="3.75" customWidth="1"/>
    <col min="2" max="2" width="9.875" customWidth="1"/>
    <col min="4" max="4" width="24" customWidth="1"/>
    <col min="8" max="8" width="12.875" customWidth="1"/>
    <col min="9" max="9" width="12.25" customWidth="1"/>
    <col min="10" max="10" width="11.75" bestFit="1" customWidth="1"/>
    <col min="11" max="11" width="15.875" customWidth="1"/>
    <col min="12" max="12" width="18.5" customWidth="1"/>
  </cols>
  <sheetData>
    <row r="1" spans="1:12" ht="18.75" thickBot="1" x14ac:dyDescent="0.3">
      <c r="A1" s="417" t="s">
        <v>439</v>
      </c>
      <c r="B1" s="417"/>
      <c r="C1" s="417"/>
      <c r="D1" s="417"/>
      <c r="E1" s="417"/>
      <c r="F1" s="417"/>
      <c r="G1" s="417"/>
      <c r="H1" s="417"/>
    </row>
    <row r="2" spans="1:12" ht="13.5" thickBot="1" x14ac:dyDescent="0.25">
      <c r="A2" s="418" t="s">
        <v>440</v>
      </c>
      <c r="B2" s="419"/>
      <c r="C2" s="419"/>
      <c r="D2" s="419"/>
      <c r="E2" s="419"/>
      <c r="F2" s="419"/>
      <c r="G2" s="419"/>
      <c r="H2" s="420"/>
    </row>
    <row r="3" spans="1:12" ht="36.75" customHeight="1" thickBot="1" x14ac:dyDescent="0.25">
      <c r="A3" s="403" t="s">
        <v>441</v>
      </c>
      <c r="B3" s="404"/>
      <c r="C3" s="404"/>
      <c r="D3" s="358"/>
      <c r="E3" s="421" t="s">
        <v>442</v>
      </c>
      <c r="F3" s="421"/>
      <c r="G3" s="421"/>
      <c r="H3" s="422"/>
    </row>
    <row r="4" spans="1:12" ht="22.5" customHeight="1" thickBot="1" x14ac:dyDescent="0.25">
      <c r="A4" s="400" t="s">
        <v>443</v>
      </c>
      <c r="B4" s="401"/>
      <c r="C4" s="401"/>
      <c r="D4" s="401"/>
      <c r="E4" s="401"/>
      <c r="F4" s="401"/>
      <c r="G4" s="401"/>
      <c r="H4" s="402"/>
    </row>
    <row r="5" spans="1:12" ht="24.75" customHeight="1" thickBot="1" x14ac:dyDescent="0.25">
      <c r="A5" s="400" t="s">
        <v>444</v>
      </c>
      <c r="B5" s="401"/>
      <c r="C5" s="401"/>
      <c r="D5" s="401"/>
      <c r="E5" s="401"/>
      <c r="F5" s="401"/>
      <c r="G5" s="401"/>
      <c r="H5" s="402"/>
    </row>
    <row r="6" spans="1:12" ht="25.5" customHeight="1" thickBot="1" x14ac:dyDescent="0.25">
      <c r="A6" s="403" t="s">
        <v>445</v>
      </c>
      <c r="B6" s="404"/>
      <c r="C6" s="404"/>
      <c r="D6" s="404"/>
      <c r="E6" s="404"/>
      <c r="F6" s="404"/>
      <c r="G6" s="404"/>
      <c r="H6" s="405"/>
    </row>
    <row r="7" spans="1:12" ht="15" x14ac:dyDescent="0.25">
      <c r="A7" s="359"/>
      <c r="B7" s="359"/>
      <c r="C7" s="359"/>
      <c r="D7" s="359"/>
      <c r="E7" s="359"/>
      <c r="F7" s="359"/>
      <c r="G7" s="359"/>
      <c r="H7" s="359"/>
    </row>
    <row r="8" spans="1:12" ht="15" customHeight="1" x14ac:dyDescent="0.2">
      <c r="A8" s="406" t="s">
        <v>446</v>
      </c>
      <c r="B8" s="406"/>
      <c r="C8" s="406"/>
      <c r="D8" s="406"/>
      <c r="E8" s="406"/>
      <c r="F8" s="406"/>
      <c r="G8" s="406"/>
      <c r="H8" s="406"/>
      <c r="I8" s="406"/>
      <c r="J8" s="406"/>
      <c r="K8" s="406"/>
      <c r="L8" s="406"/>
    </row>
    <row r="9" spans="1:12" ht="15" customHeight="1" x14ac:dyDescent="0.2">
      <c r="A9" s="406"/>
      <c r="B9" s="406"/>
      <c r="C9" s="406"/>
      <c r="D9" s="406"/>
      <c r="E9" s="406"/>
      <c r="F9" s="406"/>
      <c r="G9" s="406"/>
      <c r="H9" s="406"/>
      <c r="I9" s="406"/>
      <c r="J9" s="406"/>
      <c r="K9" s="406"/>
      <c r="L9" s="406"/>
    </row>
    <row r="10" spans="1:12" ht="23.25" customHeight="1" x14ac:dyDescent="0.2">
      <c r="A10" s="407" t="s">
        <v>447</v>
      </c>
      <c r="B10" s="408"/>
      <c r="C10" s="409"/>
      <c r="D10" s="360"/>
      <c r="E10" s="360"/>
      <c r="F10" s="360"/>
      <c r="G10" s="360"/>
      <c r="H10" s="360"/>
      <c r="I10" s="360"/>
      <c r="J10" s="360"/>
      <c r="K10" s="360"/>
      <c r="L10" s="360"/>
    </row>
    <row r="12" spans="1:12" x14ac:dyDescent="0.2">
      <c r="A12" s="413" t="s">
        <v>11</v>
      </c>
      <c r="B12" s="413"/>
      <c r="C12" s="413"/>
      <c r="D12" s="413"/>
      <c r="E12" s="413"/>
      <c r="F12" s="413"/>
      <c r="G12" s="413"/>
      <c r="H12" s="413"/>
      <c r="I12" s="413"/>
      <c r="J12" s="413"/>
      <c r="K12" s="413"/>
      <c r="L12" s="413"/>
    </row>
    <row r="14" spans="1:12" x14ac:dyDescent="0.2">
      <c r="A14" s="398" t="s">
        <v>0</v>
      </c>
      <c r="B14" s="398"/>
      <c r="C14" s="414" t="s">
        <v>434</v>
      </c>
      <c r="D14" s="414"/>
      <c r="E14" s="414"/>
      <c r="F14" s="414"/>
      <c r="G14" s="414"/>
      <c r="H14" s="414"/>
      <c r="I14" s="414"/>
      <c r="J14" s="414"/>
      <c r="K14" s="414"/>
      <c r="L14" s="414"/>
    </row>
    <row r="15" spans="1:12" x14ac:dyDescent="0.2">
      <c r="A15" s="388" t="s">
        <v>1</v>
      </c>
      <c r="B15" s="388"/>
      <c r="C15" s="398"/>
      <c r="D15" s="398"/>
      <c r="E15" s="398"/>
      <c r="F15" s="398"/>
      <c r="G15" s="398"/>
      <c r="H15" s="398"/>
      <c r="I15" s="398"/>
      <c r="J15" s="398"/>
      <c r="K15" s="398"/>
      <c r="L15" s="398"/>
    </row>
    <row r="17" spans="1:12" x14ac:dyDescent="0.2">
      <c r="A17" s="415" t="s">
        <v>2</v>
      </c>
      <c r="B17" s="416"/>
      <c r="C17" s="416"/>
      <c r="D17" s="416"/>
      <c r="E17" s="416"/>
      <c r="F17" s="416"/>
      <c r="G17" s="416"/>
      <c r="H17" s="416"/>
      <c r="I17" s="416"/>
      <c r="J17" s="416"/>
      <c r="K17" s="416"/>
      <c r="L17" s="416"/>
    </row>
    <row r="19" spans="1:12" x14ac:dyDescent="0.2">
      <c r="A19" s="413" t="s">
        <v>322</v>
      </c>
      <c r="B19" s="413"/>
      <c r="C19" s="413"/>
      <c r="D19" s="413"/>
      <c r="E19" s="413"/>
      <c r="F19" s="413"/>
      <c r="G19" s="413"/>
      <c r="H19" s="413"/>
      <c r="I19" s="413"/>
      <c r="J19" s="413"/>
      <c r="K19" s="413"/>
      <c r="L19" s="413"/>
    </row>
    <row r="21" spans="1:12" x14ac:dyDescent="0.2">
      <c r="A21" s="2" t="s">
        <v>3</v>
      </c>
      <c r="B21" s="388" t="s">
        <v>7</v>
      </c>
      <c r="C21" s="388"/>
      <c r="D21" s="388"/>
      <c r="E21" s="388"/>
      <c r="F21" s="398"/>
      <c r="G21" s="398"/>
      <c r="H21" s="398"/>
      <c r="I21" s="398"/>
      <c r="J21" s="398"/>
      <c r="K21" s="398"/>
      <c r="L21" s="398"/>
    </row>
    <row r="22" spans="1:12" x14ac:dyDescent="0.2">
      <c r="A22" s="2" t="s">
        <v>4</v>
      </c>
      <c r="B22" s="388" t="s">
        <v>8</v>
      </c>
      <c r="C22" s="388"/>
      <c r="D22" s="388"/>
      <c r="E22" s="388"/>
      <c r="F22" s="398" t="s">
        <v>373</v>
      </c>
      <c r="G22" s="398"/>
      <c r="H22" s="398"/>
      <c r="I22" s="398"/>
      <c r="J22" s="398"/>
      <c r="K22" s="398"/>
      <c r="L22" s="398"/>
    </row>
    <row r="23" spans="1:12" ht="72" customHeight="1" x14ac:dyDescent="0.2">
      <c r="A23" s="2" t="s">
        <v>5</v>
      </c>
      <c r="B23" s="388" t="s">
        <v>10</v>
      </c>
      <c r="C23" s="388"/>
      <c r="D23" s="388"/>
      <c r="E23" s="388"/>
      <c r="F23" s="410"/>
      <c r="G23" s="411"/>
      <c r="H23" s="411"/>
      <c r="I23" s="411"/>
      <c r="J23" s="411"/>
      <c r="K23" s="411"/>
      <c r="L23" s="412"/>
    </row>
    <row r="24" spans="1:12" x14ac:dyDescent="0.2">
      <c r="A24" s="2" t="s">
        <v>6</v>
      </c>
      <c r="B24" s="388" t="s">
        <v>9</v>
      </c>
      <c r="C24" s="388"/>
      <c r="D24" s="388"/>
      <c r="E24" s="388"/>
      <c r="F24" s="2">
        <v>12</v>
      </c>
      <c r="G24" s="2" t="s">
        <v>408</v>
      </c>
      <c r="H24" s="245" t="s">
        <v>295</v>
      </c>
      <c r="I24" s="398" t="s">
        <v>409</v>
      </c>
      <c r="J24" s="398"/>
      <c r="K24" s="399"/>
      <c r="L24" s="399"/>
    </row>
    <row r="26" spans="1:12" x14ac:dyDescent="0.2">
      <c r="A26" s="389" t="s">
        <v>12</v>
      </c>
      <c r="B26" s="389"/>
      <c r="C26" s="389"/>
      <c r="D26" s="389"/>
      <c r="E26" s="389"/>
      <c r="F26" s="389"/>
      <c r="G26" s="389"/>
      <c r="H26" s="389"/>
      <c r="I26" s="389"/>
      <c r="J26" s="389"/>
      <c r="K26" s="389"/>
      <c r="L26" s="389"/>
    </row>
    <row r="28" spans="1:12" s="1" customFormat="1" ht="27.95" customHeight="1" x14ac:dyDescent="0.2">
      <c r="A28" s="392" t="s">
        <v>13</v>
      </c>
      <c r="B28" s="393"/>
      <c r="C28" s="393"/>
      <c r="D28" s="394"/>
      <c r="E28" s="392" t="s">
        <v>14</v>
      </c>
      <c r="F28" s="394"/>
      <c r="G28" s="391" t="s">
        <v>15</v>
      </c>
      <c r="H28" s="391"/>
      <c r="I28" s="391" t="s">
        <v>405</v>
      </c>
      <c r="J28" s="391"/>
      <c r="K28" s="391"/>
      <c r="L28" s="391"/>
    </row>
    <row r="29" spans="1:12" s="1" customFormat="1" ht="27.95" customHeight="1" x14ac:dyDescent="0.2">
      <c r="A29" s="395"/>
      <c r="B29" s="396"/>
      <c r="C29" s="396"/>
      <c r="D29" s="397"/>
      <c r="E29" s="395"/>
      <c r="F29" s="397"/>
      <c r="G29" s="151" t="s">
        <v>320</v>
      </c>
      <c r="H29" s="151" t="s">
        <v>321</v>
      </c>
      <c r="I29" s="244" t="s">
        <v>320</v>
      </c>
      <c r="J29" s="244" t="s">
        <v>321</v>
      </c>
      <c r="K29" s="244" t="s">
        <v>406</v>
      </c>
      <c r="L29" s="244" t="s">
        <v>407</v>
      </c>
    </row>
    <row r="30" spans="1:12" ht="39.950000000000003" customHeight="1" x14ac:dyDescent="0.2">
      <c r="A30" s="390" t="s">
        <v>302</v>
      </c>
      <c r="B30" s="243" t="s">
        <v>303</v>
      </c>
      <c r="C30" s="386" t="s">
        <v>381</v>
      </c>
      <c r="D30" s="387"/>
      <c r="E30" s="385" t="s">
        <v>307</v>
      </c>
      <c r="F30" s="385"/>
      <c r="G30" s="2">
        <f>+'Demanda LOTE I'!I27</f>
        <v>2</v>
      </c>
      <c r="H30" s="2">
        <f>+'Demanda LOTE I'!J27</f>
        <v>4</v>
      </c>
      <c r="I30" s="7">
        <f>+J30*2</f>
        <v>0</v>
      </c>
      <c r="J30" s="213">
        <f>+'Vigilante 12x36 Noturno Arm'!$D$153</f>
        <v>0</v>
      </c>
      <c r="K30" s="7">
        <f>+J30*H30</f>
        <v>0</v>
      </c>
      <c r="L30" s="7">
        <f>+K30*12</f>
        <v>0</v>
      </c>
    </row>
    <row r="31" spans="1:12" ht="39.950000000000003" customHeight="1" x14ac:dyDescent="0.2">
      <c r="A31" s="390"/>
      <c r="B31" s="243" t="s">
        <v>304</v>
      </c>
      <c r="C31" s="386" t="s">
        <v>299</v>
      </c>
      <c r="D31" s="387"/>
      <c r="E31" s="385" t="s">
        <v>307</v>
      </c>
      <c r="F31" s="385"/>
      <c r="G31" s="2">
        <f>+'Demanda LOTE I'!I28</f>
        <v>7</v>
      </c>
      <c r="H31" s="2">
        <f>+'Demanda LOTE I'!J28</f>
        <v>14</v>
      </c>
      <c r="I31" s="7">
        <f>+J31*2</f>
        <v>0</v>
      </c>
      <c r="J31" s="213">
        <f>+'Vigilante 12X36 Diurno Des'!$D$153</f>
        <v>0</v>
      </c>
      <c r="K31" s="7">
        <f t="shared" ref="K31:K34" si="0">+J31*H31</f>
        <v>0</v>
      </c>
      <c r="L31" s="7">
        <f t="shared" ref="L31:L35" si="1">+K31*12</f>
        <v>0</v>
      </c>
    </row>
    <row r="32" spans="1:12" ht="39.950000000000003" customHeight="1" x14ac:dyDescent="0.2">
      <c r="A32" s="390"/>
      <c r="B32" s="243" t="s">
        <v>305</v>
      </c>
      <c r="C32" s="386" t="s">
        <v>298</v>
      </c>
      <c r="D32" s="387"/>
      <c r="E32" s="385" t="s">
        <v>307</v>
      </c>
      <c r="F32" s="385"/>
      <c r="G32" s="2">
        <f>+'Demanda LOTE I'!I29</f>
        <v>5</v>
      </c>
      <c r="H32" s="2">
        <f>+'Demanda LOTE I'!J29</f>
        <v>10</v>
      </c>
      <c r="I32" s="7">
        <f>+J32*2</f>
        <v>0</v>
      </c>
      <c r="J32" s="213">
        <f>+'Vigilante 12X36 Noturno Des'!$D$155</f>
        <v>0</v>
      </c>
      <c r="K32" s="7">
        <f t="shared" si="0"/>
        <v>0</v>
      </c>
      <c r="L32" s="7">
        <f t="shared" si="1"/>
        <v>0</v>
      </c>
    </row>
    <row r="33" spans="1:12" ht="39.950000000000003" customHeight="1" x14ac:dyDescent="0.2">
      <c r="A33" s="390"/>
      <c r="B33" s="243" t="s">
        <v>306</v>
      </c>
      <c r="C33" s="386" t="s">
        <v>449</v>
      </c>
      <c r="D33" s="387"/>
      <c r="E33" s="385" t="s">
        <v>339</v>
      </c>
      <c r="F33" s="385"/>
      <c r="G33" s="2">
        <f>+'Demanda LOTE I'!I30</f>
        <v>6</v>
      </c>
      <c r="H33" s="2">
        <f>+'Demanda LOTE I'!J30</f>
        <v>6</v>
      </c>
      <c r="I33" s="7">
        <f>+J33</f>
        <v>0</v>
      </c>
      <c r="J33" s="213">
        <f>+'Vigilante 5x2 12h Desar'!$D$154</f>
        <v>0</v>
      </c>
      <c r="K33" s="7">
        <f t="shared" si="0"/>
        <v>0</v>
      </c>
      <c r="L33" s="7">
        <f t="shared" si="1"/>
        <v>0</v>
      </c>
    </row>
    <row r="34" spans="1:12" ht="39.950000000000003" customHeight="1" x14ac:dyDescent="0.2">
      <c r="A34" s="390"/>
      <c r="B34" s="243" t="s">
        <v>337</v>
      </c>
      <c r="C34" s="386" t="s">
        <v>379</v>
      </c>
      <c r="D34" s="387"/>
      <c r="E34" s="385" t="s">
        <v>339</v>
      </c>
      <c r="F34" s="385"/>
      <c r="G34" s="2">
        <f>+'Demanda LOTE I'!I31</f>
        <v>2</v>
      </c>
      <c r="H34" s="2">
        <f>+'Demanda LOTE I'!J31</f>
        <v>2</v>
      </c>
      <c r="I34" s="7">
        <f>+J34</f>
        <v>0</v>
      </c>
      <c r="J34" s="213">
        <f>+'Vigilante 44h Desarm'!$D$155</f>
        <v>0</v>
      </c>
      <c r="K34" s="7">
        <f t="shared" si="0"/>
        <v>0</v>
      </c>
      <c r="L34" s="7">
        <f t="shared" si="1"/>
        <v>0</v>
      </c>
    </row>
    <row r="35" spans="1:12" ht="15" x14ac:dyDescent="0.25">
      <c r="D35" s="160"/>
      <c r="G35" s="272">
        <f>SUM(G30:G34)</f>
        <v>22</v>
      </c>
      <c r="H35" s="272">
        <f>SUM(H30:H34)</f>
        <v>36</v>
      </c>
      <c r="K35" s="273">
        <f>SUM(K30:K34)</f>
        <v>0</v>
      </c>
      <c r="L35" s="274">
        <f t="shared" si="1"/>
        <v>0</v>
      </c>
    </row>
    <row r="36" spans="1:12" ht="15" x14ac:dyDescent="0.25">
      <c r="D36" s="160"/>
      <c r="K36" s="254"/>
      <c r="L36" s="270"/>
    </row>
    <row r="37" spans="1:12" ht="27.95" customHeight="1" x14ac:dyDescent="0.2">
      <c r="A37" s="392" t="s">
        <v>13</v>
      </c>
      <c r="B37" s="393"/>
      <c r="C37" s="393"/>
      <c r="D37" s="394"/>
      <c r="E37" s="392" t="s">
        <v>14</v>
      </c>
      <c r="F37" s="394"/>
      <c r="G37" s="391" t="s">
        <v>15</v>
      </c>
      <c r="H37" s="391"/>
      <c r="I37" s="391" t="s">
        <v>405</v>
      </c>
      <c r="J37" s="391"/>
      <c r="K37" s="391"/>
      <c r="L37" s="391"/>
    </row>
    <row r="38" spans="1:12" ht="27.95" customHeight="1" x14ac:dyDescent="0.2">
      <c r="A38" s="395"/>
      <c r="B38" s="396"/>
      <c r="C38" s="396"/>
      <c r="D38" s="397"/>
      <c r="E38" s="395"/>
      <c r="F38" s="397"/>
      <c r="G38" s="244" t="s">
        <v>320</v>
      </c>
      <c r="H38" s="244" t="s">
        <v>321</v>
      </c>
      <c r="I38" s="244" t="s">
        <v>320</v>
      </c>
      <c r="J38" s="244" t="s">
        <v>321</v>
      </c>
      <c r="K38" s="244" t="s">
        <v>406</v>
      </c>
      <c r="L38" s="244" t="s">
        <v>407</v>
      </c>
    </row>
    <row r="39" spans="1:12" ht="39.950000000000003" customHeight="1" x14ac:dyDescent="0.2">
      <c r="A39" s="390" t="s">
        <v>413</v>
      </c>
      <c r="B39" s="242" t="s">
        <v>338</v>
      </c>
      <c r="C39" s="385" t="s">
        <v>301</v>
      </c>
      <c r="D39" s="385"/>
      <c r="E39" s="385" t="s">
        <v>307</v>
      </c>
      <c r="F39" s="385"/>
      <c r="G39" s="287">
        <f>+'Demanda LOTE II'!I26</f>
        <v>17</v>
      </c>
      <c r="H39" s="287">
        <f>+'Demanda LOTE II'!J26</f>
        <v>34</v>
      </c>
      <c r="I39" s="7">
        <f>+J39*2</f>
        <v>0</v>
      </c>
      <c r="J39" s="289">
        <f>+'Vigilante 12X36 Diurno Arm'!$D$153</f>
        <v>0</v>
      </c>
      <c r="K39" s="290">
        <f>+J39*H39</f>
        <v>0</v>
      </c>
      <c r="L39" s="288">
        <f>+K39*12</f>
        <v>0</v>
      </c>
    </row>
    <row r="40" spans="1:12" ht="39.950000000000003" customHeight="1" x14ac:dyDescent="0.2">
      <c r="A40" s="390"/>
      <c r="B40" s="242" t="s">
        <v>378</v>
      </c>
      <c r="C40" s="385" t="s">
        <v>300</v>
      </c>
      <c r="D40" s="385"/>
      <c r="E40" s="385" t="s">
        <v>307</v>
      </c>
      <c r="F40" s="385"/>
      <c r="G40" s="287">
        <f>+'Demanda LOTE II'!I27</f>
        <v>15</v>
      </c>
      <c r="H40" s="287">
        <f>+'Demanda LOTE II'!J27</f>
        <v>30</v>
      </c>
      <c r="I40" s="7">
        <f>+J40*2</f>
        <v>0</v>
      </c>
      <c r="J40" s="289">
        <f>+'Vigilante 12x36 Noturno Arm'!$D$153</f>
        <v>0</v>
      </c>
      <c r="K40" s="290">
        <f t="shared" ref="K40:K44" si="2">+J40*H40</f>
        <v>0</v>
      </c>
      <c r="L40" s="288">
        <f t="shared" ref="L40:L44" si="3">+K40*12</f>
        <v>0</v>
      </c>
    </row>
    <row r="41" spans="1:12" ht="39.950000000000003" customHeight="1" x14ac:dyDescent="0.2">
      <c r="A41" s="390"/>
      <c r="B41" s="242" t="s">
        <v>380</v>
      </c>
      <c r="C41" s="385" t="s">
        <v>377</v>
      </c>
      <c r="D41" s="385"/>
      <c r="E41" s="385" t="s">
        <v>339</v>
      </c>
      <c r="F41" s="385"/>
      <c r="G41" s="287">
        <f>+'Demanda LOTE II'!I28</f>
        <v>4</v>
      </c>
      <c r="H41" s="287">
        <f>+'Demanda LOTE II'!J28</f>
        <v>4</v>
      </c>
      <c r="I41" s="289">
        <f>+J41</f>
        <v>0</v>
      </c>
      <c r="J41" s="289">
        <f>+'Vigilante 44h Arm'!$D$155</f>
        <v>0</v>
      </c>
      <c r="K41" s="290">
        <f t="shared" si="2"/>
        <v>0</v>
      </c>
      <c r="L41" s="288">
        <f t="shared" si="3"/>
        <v>0</v>
      </c>
    </row>
    <row r="42" spans="1:12" ht="39.950000000000003" customHeight="1" x14ac:dyDescent="0.2">
      <c r="A42" s="390"/>
      <c r="B42" s="242" t="s">
        <v>410</v>
      </c>
      <c r="C42" s="385" t="s">
        <v>299</v>
      </c>
      <c r="D42" s="385"/>
      <c r="E42" s="385" t="s">
        <v>307</v>
      </c>
      <c r="F42" s="385"/>
      <c r="G42" s="287">
        <f>+'Demanda LOTE II'!I29</f>
        <v>4</v>
      </c>
      <c r="H42" s="287">
        <f>+'Demanda LOTE II'!J29</f>
        <v>8</v>
      </c>
      <c r="I42" s="7">
        <f>+J42*2</f>
        <v>0</v>
      </c>
      <c r="J42" s="289">
        <f>+'Vigilante 12X36 Diurno Des'!$D$153</f>
        <v>0</v>
      </c>
      <c r="K42" s="290">
        <f t="shared" si="2"/>
        <v>0</v>
      </c>
      <c r="L42" s="288">
        <f t="shared" si="3"/>
        <v>0</v>
      </c>
    </row>
    <row r="43" spans="1:12" ht="39.950000000000003" customHeight="1" x14ac:dyDescent="0.2">
      <c r="A43" s="390"/>
      <c r="B43" s="242" t="s">
        <v>411</v>
      </c>
      <c r="C43" s="385" t="s">
        <v>298</v>
      </c>
      <c r="D43" s="385"/>
      <c r="E43" s="385" t="s">
        <v>307</v>
      </c>
      <c r="F43" s="385"/>
      <c r="G43" s="287">
        <f>+'Demanda LOTE II'!I30</f>
        <v>2</v>
      </c>
      <c r="H43" s="287">
        <f>+'Demanda LOTE II'!J30</f>
        <v>4</v>
      </c>
      <c r="I43" s="7">
        <f>+J43*2</f>
        <v>0</v>
      </c>
      <c r="J43" s="289">
        <f>+'Vigilante 12X36 Noturno Des'!$D$155</f>
        <v>0</v>
      </c>
      <c r="K43" s="290">
        <f t="shared" si="2"/>
        <v>0</v>
      </c>
      <c r="L43" s="288">
        <f t="shared" si="3"/>
        <v>0</v>
      </c>
    </row>
    <row r="44" spans="1:12" ht="39.950000000000003" customHeight="1" x14ac:dyDescent="0.2">
      <c r="A44" s="390"/>
      <c r="B44" s="242" t="s">
        <v>412</v>
      </c>
      <c r="C44" s="385" t="s">
        <v>379</v>
      </c>
      <c r="D44" s="385"/>
      <c r="E44" s="385" t="s">
        <v>339</v>
      </c>
      <c r="F44" s="385"/>
      <c r="G44" s="287">
        <f>+'Demanda LOTE II'!I31</f>
        <v>5</v>
      </c>
      <c r="H44" s="287">
        <f>+'Demanda LOTE II'!J31</f>
        <v>5</v>
      </c>
      <c r="I44" s="289">
        <f>+J44</f>
        <v>0</v>
      </c>
      <c r="J44" s="289">
        <f>+'Vigilante 44h Desarm'!$D$155</f>
        <v>0</v>
      </c>
      <c r="K44" s="290">
        <f t="shared" si="2"/>
        <v>0</v>
      </c>
      <c r="L44" s="288">
        <f t="shared" si="3"/>
        <v>0</v>
      </c>
    </row>
    <row r="45" spans="1:12" ht="15" x14ac:dyDescent="0.25">
      <c r="D45" s="160"/>
      <c r="G45" s="13">
        <f>SUM(G39:G44)</f>
        <v>47</v>
      </c>
      <c r="H45" s="13">
        <f>SUM(H39:H44)</f>
        <v>85</v>
      </c>
      <c r="K45" s="32">
        <f>SUM(K39:K44)</f>
        <v>0</v>
      </c>
      <c r="L45" s="32">
        <f>SUM(L39:L44)</f>
        <v>0</v>
      </c>
    </row>
    <row r="46" spans="1:12" ht="15" x14ac:dyDescent="0.25">
      <c r="D46" s="160"/>
      <c r="K46" s="254"/>
      <c r="L46" s="270"/>
    </row>
    <row r="47" spans="1:12" ht="27.95" customHeight="1" x14ac:dyDescent="0.2">
      <c r="A47" s="392" t="s">
        <v>13</v>
      </c>
      <c r="B47" s="393"/>
      <c r="C47" s="393"/>
      <c r="D47" s="394"/>
      <c r="E47" s="392" t="s">
        <v>14</v>
      </c>
      <c r="F47" s="394"/>
      <c r="G47" s="391" t="s">
        <v>15</v>
      </c>
      <c r="H47" s="391"/>
      <c r="I47" s="391" t="s">
        <v>405</v>
      </c>
      <c r="J47" s="391"/>
      <c r="K47" s="391"/>
      <c r="L47" s="391"/>
    </row>
    <row r="48" spans="1:12" ht="27.95" customHeight="1" x14ac:dyDescent="0.2">
      <c r="A48" s="395"/>
      <c r="B48" s="396"/>
      <c r="C48" s="396"/>
      <c r="D48" s="397"/>
      <c r="E48" s="395"/>
      <c r="F48" s="397"/>
      <c r="G48" s="244" t="s">
        <v>320</v>
      </c>
      <c r="H48" s="244" t="s">
        <v>321</v>
      </c>
      <c r="I48" s="244" t="s">
        <v>320</v>
      </c>
      <c r="J48" s="244" t="s">
        <v>321</v>
      </c>
      <c r="K48" s="244" t="s">
        <v>406</v>
      </c>
      <c r="L48" s="244" t="s">
        <v>407</v>
      </c>
    </row>
    <row r="49" spans="1:12" ht="39.950000000000003" customHeight="1" x14ac:dyDescent="0.2">
      <c r="A49" s="390" t="s">
        <v>421</v>
      </c>
      <c r="B49" s="242" t="s">
        <v>414</v>
      </c>
      <c r="C49" s="385" t="s">
        <v>301</v>
      </c>
      <c r="D49" s="385"/>
      <c r="E49" s="385" t="s">
        <v>307</v>
      </c>
      <c r="F49" s="385"/>
      <c r="G49" s="246">
        <f>+'Demanda LOTE III'!I42</f>
        <v>3</v>
      </c>
      <c r="H49" s="246">
        <f>+'Demanda LOTE III'!J42</f>
        <v>6</v>
      </c>
      <c r="I49" s="7">
        <f>+J49*2</f>
        <v>0</v>
      </c>
      <c r="J49" s="289">
        <f>+'Vigilante 12X36 Diurno Arm'!$D$153</f>
        <v>0</v>
      </c>
      <c r="K49" s="290">
        <f>+J49*H49</f>
        <v>0</v>
      </c>
      <c r="L49" s="288">
        <f>+K49*12</f>
        <v>0</v>
      </c>
    </row>
    <row r="50" spans="1:12" ht="39.950000000000003" customHeight="1" x14ac:dyDescent="0.2">
      <c r="A50" s="390"/>
      <c r="B50" s="242" t="s">
        <v>415</v>
      </c>
      <c r="C50" s="385" t="s">
        <v>300</v>
      </c>
      <c r="D50" s="385"/>
      <c r="E50" s="385" t="s">
        <v>307</v>
      </c>
      <c r="F50" s="385"/>
      <c r="G50" s="246">
        <f>+'Demanda LOTE III'!I43</f>
        <v>14</v>
      </c>
      <c r="H50" s="246">
        <f>+'Demanda LOTE III'!J43</f>
        <v>28</v>
      </c>
      <c r="I50" s="7">
        <f>+J50*2</f>
        <v>0</v>
      </c>
      <c r="J50" s="289">
        <f>+'Vigilante 12x36 Noturno Arm'!$D$153</f>
        <v>0</v>
      </c>
      <c r="K50" s="290">
        <f t="shared" ref="K50:K55" si="4">+J50*H50</f>
        <v>0</v>
      </c>
      <c r="L50" s="288">
        <f t="shared" ref="L50:L55" si="5">+K50*12</f>
        <v>0</v>
      </c>
    </row>
    <row r="51" spans="1:12" ht="39.950000000000003" customHeight="1" x14ac:dyDescent="0.2">
      <c r="A51" s="390"/>
      <c r="B51" s="242" t="s">
        <v>416</v>
      </c>
      <c r="C51" s="385" t="s">
        <v>450</v>
      </c>
      <c r="D51" s="385"/>
      <c r="E51" s="385" t="s">
        <v>339</v>
      </c>
      <c r="F51" s="385"/>
      <c r="G51" s="246">
        <f>+'Demanda LOTE III'!I44</f>
        <v>3</v>
      </c>
      <c r="H51" s="246">
        <f>+'Demanda LOTE III'!J44</f>
        <v>3</v>
      </c>
      <c r="I51" s="289">
        <f>+J51</f>
        <v>0</v>
      </c>
      <c r="J51" s="289">
        <f>+'Vigilante 5x2 12h Arm'!$D$156</f>
        <v>0</v>
      </c>
      <c r="K51" s="290">
        <f t="shared" si="4"/>
        <v>0</v>
      </c>
      <c r="L51" s="288">
        <f t="shared" si="5"/>
        <v>0</v>
      </c>
    </row>
    <row r="52" spans="1:12" ht="39.950000000000003" customHeight="1" x14ac:dyDescent="0.2">
      <c r="A52" s="390"/>
      <c r="B52" s="242" t="s">
        <v>417</v>
      </c>
      <c r="C52" s="385" t="s">
        <v>299</v>
      </c>
      <c r="D52" s="385"/>
      <c r="E52" s="385" t="s">
        <v>307</v>
      </c>
      <c r="F52" s="385"/>
      <c r="G52" s="246">
        <f>+'Demanda LOTE III'!I45</f>
        <v>16</v>
      </c>
      <c r="H52" s="246">
        <f>+'Demanda LOTE III'!J45</f>
        <v>32</v>
      </c>
      <c r="I52" s="7">
        <f>+J52*2</f>
        <v>0</v>
      </c>
      <c r="J52" s="289">
        <f>+'Vigilante 12X36 Diurno Des'!$D$153</f>
        <v>0</v>
      </c>
      <c r="K52" s="290">
        <f t="shared" si="4"/>
        <v>0</v>
      </c>
      <c r="L52" s="288">
        <f t="shared" si="5"/>
        <v>0</v>
      </c>
    </row>
    <row r="53" spans="1:12" ht="39.950000000000003" customHeight="1" x14ac:dyDescent="0.2">
      <c r="A53" s="390"/>
      <c r="B53" s="242" t="s">
        <v>418</v>
      </c>
      <c r="C53" s="385" t="s">
        <v>298</v>
      </c>
      <c r="D53" s="385"/>
      <c r="E53" s="385" t="s">
        <v>307</v>
      </c>
      <c r="F53" s="385"/>
      <c r="G53" s="246">
        <f>+'Demanda LOTE III'!I46</f>
        <v>6</v>
      </c>
      <c r="H53" s="246">
        <f>+'Demanda LOTE III'!J46</f>
        <v>12</v>
      </c>
      <c r="I53" s="7">
        <f>+J53*2</f>
        <v>0</v>
      </c>
      <c r="J53" s="289">
        <f>+'Vigilante 12X36 Noturno Des'!$D$155</f>
        <v>0</v>
      </c>
      <c r="K53" s="290">
        <f t="shared" si="4"/>
        <v>0</v>
      </c>
      <c r="L53" s="288">
        <f t="shared" si="5"/>
        <v>0</v>
      </c>
    </row>
    <row r="54" spans="1:12" ht="39.950000000000003" customHeight="1" x14ac:dyDescent="0.2">
      <c r="A54" s="390"/>
      <c r="B54" s="242" t="s">
        <v>419</v>
      </c>
      <c r="C54" s="385" t="s">
        <v>449</v>
      </c>
      <c r="D54" s="385"/>
      <c r="E54" s="385" t="s">
        <v>339</v>
      </c>
      <c r="F54" s="385"/>
      <c r="G54" s="246">
        <f>+'Demanda LOTE III'!I47</f>
        <v>5</v>
      </c>
      <c r="H54" s="246">
        <f>+'Demanda LOTE III'!J47</f>
        <v>5</v>
      </c>
      <c r="I54" s="289">
        <f>+J54</f>
        <v>0</v>
      </c>
      <c r="J54" s="289">
        <f>+'Vigilante 5x2 12h Desar'!$D$154</f>
        <v>0</v>
      </c>
      <c r="K54" s="290">
        <f t="shared" si="4"/>
        <v>0</v>
      </c>
      <c r="L54" s="288">
        <f t="shared" si="5"/>
        <v>0</v>
      </c>
    </row>
    <row r="55" spans="1:12" ht="39.950000000000003" customHeight="1" x14ac:dyDescent="0.2">
      <c r="A55" s="390"/>
      <c r="B55" s="242" t="s">
        <v>420</v>
      </c>
      <c r="C55" s="385" t="s">
        <v>379</v>
      </c>
      <c r="D55" s="385"/>
      <c r="E55" s="385" t="s">
        <v>339</v>
      </c>
      <c r="F55" s="385"/>
      <c r="G55" s="246">
        <f>+'Demanda LOTE III'!I48</f>
        <v>6</v>
      </c>
      <c r="H55" s="246">
        <f>+'Demanda LOTE III'!J48</f>
        <v>6</v>
      </c>
      <c r="I55" s="289">
        <f>+J55</f>
        <v>0</v>
      </c>
      <c r="J55" s="289">
        <f>+'Vigilante 44h Desarm'!$D$155</f>
        <v>0</v>
      </c>
      <c r="K55" s="290">
        <f t="shared" si="4"/>
        <v>0</v>
      </c>
      <c r="L55" s="288">
        <f t="shared" si="5"/>
        <v>0</v>
      </c>
    </row>
    <row r="56" spans="1:12" ht="15" x14ac:dyDescent="0.25">
      <c r="D56" s="160"/>
      <c r="G56" s="19">
        <f>SUM(G49:G55)</f>
        <v>53</v>
      </c>
      <c r="H56" s="19">
        <f>SUM(H49:H55)</f>
        <v>92</v>
      </c>
      <c r="K56" s="296">
        <f>SUM(K49:K55)</f>
        <v>0</v>
      </c>
      <c r="L56" s="296">
        <f>SUM(L49:L55)</f>
        <v>0</v>
      </c>
    </row>
    <row r="57" spans="1:12" ht="15" x14ac:dyDescent="0.25">
      <c r="D57" s="160"/>
      <c r="K57" s="254"/>
      <c r="L57" s="270"/>
    </row>
    <row r="58" spans="1:12" x14ac:dyDescent="0.2">
      <c r="A58" s="2" t="s">
        <v>3</v>
      </c>
      <c r="B58" s="388" t="s">
        <v>7</v>
      </c>
      <c r="C58" s="388"/>
      <c r="D58" s="388"/>
      <c r="E58" s="388"/>
      <c r="F58" s="398"/>
      <c r="G58" s="398"/>
      <c r="H58" s="398"/>
      <c r="I58" s="398"/>
      <c r="J58" s="398"/>
      <c r="K58" s="398"/>
      <c r="L58" s="398"/>
    </row>
    <row r="59" spans="1:12" x14ac:dyDescent="0.2">
      <c r="A59" s="2" t="s">
        <v>4</v>
      </c>
      <c r="B59" s="388" t="s">
        <v>8</v>
      </c>
      <c r="C59" s="388"/>
      <c r="D59" s="388"/>
      <c r="E59" s="388"/>
      <c r="F59" s="398" t="s">
        <v>437</v>
      </c>
      <c r="G59" s="398"/>
      <c r="H59" s="398"/>
      <c r="I59" s="398"/>
      <c r="J59" s="398"/>
      <c r="K59" s="398"/>
      <c r="L59" s="398"/>
    </row>
    <row r="60" spans="1:12" ht="76.5" customHeight="1" x14ac:dyDescent="0.2">
      <c r="A60" s="2" t="s">
        <v>5</v>
      </c>
      <c r="B60" s="388" t="s">
        <v>10</v>
      </c>
      <c r="C60" s="388"/>
      <c r="D60" s="388"/>
      <c r="E60" s="388"/>
      <c r="F60" s="410"/>
      <c r="G60" s="411"/>
      <c r="H60" s="411"/>
      <c r="I60" s="411"/>
      <c r="J60" s="411"/>
      <c r="K60" s="411"/>
      <c r="L60" s="412"/>
    </row>
    <row r="61" spans="1:12" x14ac:dyDescent="0.2">
      <c r="A61" s="2" t="s">
        <v>6</v>
      </c>
      <c r="B61" s="388" t="s">
        <v>9</v>
      </c>
      <c r="C61" s="388"/>
      <c r="D61" s="388"/>
      <c r="E61" s="388"/>
      <c r="F61" s="2">
        <v>12</v>
      </c>
      <c r="G61" s="2" t="s">
        <v>408</v>
      </c>
      <c r="H61" s="245" t="s">
        <v>295</v>
      </c>
      <c r="I61" s="398" t="s">
        <v>409</v>
      </c>
      <c r="J61" s="398"/>
      <c r="K61" s="399"/>
      <c r="L61" s="399"/>
    </row>
    <row r="62" spans="1:12" ht="15" x14ac:dyDescent="0.25">
      <c r="D62" s="160"/>
      <c r="K62" s="254"/>
      <c r="L62" s="270"/>
    </row>
    <row r="63" spans="1:12" x14ac:dyDescent="0.2">
      <c r="A63" s="389" t="s">
        <v>12</v>
      </c>
      <c r="B63" s="389"/>
      <c r="C63" s="389"/>
      <c r="D63" s="389"/>
      <c r="E63" s="389"/>
      <c r="F63" s="389"/>
      <c r="G63" s="389"/>
      <c r="H63" s="389"/>
      <c r="I63" s="389"/>
      <c r="J63" s="389"/>
      <c r="K63" s="389"/>
      <c r="L63" s="389"/>
    </row>
    <row r="64" spans="1:12" ht="15" x14ac:dyDescent="0.25">
      <c r="D64" s="160"/>
      <c r="K64" s="254"/>
      <c r="L64" s="270"/>
    </row>
    <row r="65" spans="1:12" ht="27.95" customHeight="1" x14ac:dyDescent="0.2">
      <c r="A65" s="392" t="s">
        <v>13</v>
      </c>
      <c r="B65" s="393"/>
      <c r="C65" s="393"/>
      <c r="D65" s="394"/>
      <c r="E65" s="392" t="s">
        <v>14</v>
      </c>
      <c r="F65" s="394"/>
      <c r="G65" s="391" t="s">
        <v>15</v>
      </c>
      <c r="H65" s="391"/>
      <c r="I65" s="391" t="s">
        <v>405</v>
      </c>
      <c r="J65" s="391"/>
      <c r="K65" s="391"/>
      <c r="L65" s="391"/>
    </row>
    <row r="66" spans="1:12" ht="27.95" customHeight="1" x14ac:dyDescent="0.2">
      <c r="A66" s="395"/>
      <c r="B66" s="396"/>
      <c r="C66" s="396"/>
      <c r="D66" s="397"/>
      <c r="E66" s="395"/>
      <c r="F66" s="397"/>
      <c r="G66" s="244" t="s">
        <v>320</v>
      </c>
      <c r="H66" s="244" t="s">
        <v>321</v>
      </c>
      <c r="I66" s="244" t="s">
        <v>320</v>
      </c>
      <c r="J66" s="244" t="s">
        <v>321</v>
      </c>
      <c r="K66" s="244" t="s">
        <v>406</v>
      </c>
      <c r="L66" s="244" t="s">
        <v>407</v>
      </c>
    </row>
    <row r="67" spans="1:12" ht="39.950000000000003" customHeight="1" x14ac:dyDescent="0.2">
      <c r="A67" s="390" t="s">
        <v>422</v>
      </c>
      <c r="B67" s="242" t="s">
        <v>423</v>
      </c>
      <c r="C67" s="385" t="s">
        <v>301</v>
      </c>
      <c r="D67" s="385"/>
      <c r="E67" s="385" t="s">
        <v>307</v>
      </c>
      <c r="F67" s="385"/>
      <c r="G67" s="246">
        <f>+'Demanda LOTE IV'!I20</f>
        <v>6</v>
      </c>
      <c r="H67" s="246">
        <f>+'Demanda LOTE IV'!J20</f>
        <v>12</v>
      </c>
      <c r="I67" s="7">
        <f>+J67*2</f>
        <v>0</v>
      </c>
      <c r="J67" s="289">
        <f>+'Vigilante Xerem 12x36 Diu Arm '!$D$153</f>
        <v>0</v>
      </c>
      <c r="K67" s="288">
        <f>+J67*H67</f>
        <v>0</v>
      </c>
      <c r="L67" s="288">
        <f>+K67*12</f>
        <v>0</v>
      </c>
    </row>
    <row r="68" spans="1:12" ht="39.950000000000003" customHeight="1" x14ac:dyDescent="0.2">
      <c r="A68" s="390"/>
      <c r="B68" s="242" t="s">
        <v>424</v>
      </c>
      <c r="C68" s="385" t="s">
        <v>300</v>
      </c>
      <c r="D68" s="385"/>
      <c r="E68" s="385" t="s">
        <v>307</v>
      </c>
      <c r="F68" s="385"/>
      <c r="G68" s="246">
        <f>+'Demanda LOTE IV'!I21</f>
        <v>6</v>
      </c>
      <c r="H68" s="246">
        <f>+'Demanda LOTE IV'!J21</f>
        <v>12</v>
      </c>
      <c r="I68" s="7">
        <f>+J68*2</f>
        <v>0</v>
      </c>
      <c r="J68" s="289">
        <f>+'Vigilante Xerem 12x36 not Arm'!$D$153</f>
        <v>0</v>
      </c>
      <c r="K68" s="288">
        <f>+J68*H68</f>
        <v>0</v>
      </c>
      <c r="L68" s="288">
        <f>+K68*12</f>
        <v>0</v>
      </c>
    </row>
    <row r="69" spans="1:12" ht="39.950000000000003" customHeight="1" x14ac:dyDescent="0.2">
      <c r="A69" s="390"/>
      <c r="B69" s="242" t="s">
        <v>425</v>
      </c>
      <c r="C69" s="385" t="s">
        <v>379</v>
      </c>
      <c r="D69" s="385"/>
      <c r="E69" s="385" t="s">
        <v>339</v>
      </c>
      <c r="F69" s="385"/>
      <c r="G69" s="246">
        <f>+'Demanda LOTE IV'!I22</f>
        <v>3</v>
      </c>
      <c r="H69" s="246">
        <f>+'Demanda LOTE IV'!J22</f>
        <v>3</v>
      </c>
      <c r="I69" s="289">
        <f>+J69</f>
        <v>0</v>
      </c>
      <c r="J69" s="271">
        <f>+'Vigilante Xerem 44h des'!$D$155</f>
        <v>0</v>
      </c>
      <c r="K69" s="288">
        <f>+J69*H69</f>
        <v>0</v>
      </c>
      <c r="L69" s="288">
        <f>+K69*12</f>
        <v>0</v>
      </c>
    </row>
    <row r="70" spans="1:12" ht="15" x14ac:dyDescent="0.25">
      <c r="D70" s="160"/>
      <c r="G70" s="13">
        <f>SUM(G67:G69)</f>
        <v>15</v>
      </c>
      <c r="H70" s="13">
        <f>SUM(H67:H69)</f>
        <v>27</v>
      </c>
      <c r="I70" s="302"/>
      <c r="J70" s="302"/>
      <c r="K70" s="303">
        <f>SUM(K67:K69)</f>
        <v>0</v>
      </c>
      <c r="L70" s="303">
        <f>SUM(L67:L69)</f>
        <v>0</v>
      </c>
    </row>
    <row r="71" spans="1:12" ht="6.75" customHeight="1" x14ac:dyDescent="0.25">
      <c r="B71" s="297"/>
      <c r="D71" s="160"/>
      <c r="K71" s="254"/>
      <c r="L71" s="270"/>
    </row>
    <row r="72" spans="1:12" ht="15" x14ac:dyDescent="0.25">
      <c r="D72" s="160"/>
      <c r="K72" s="356" t="s">
        <v>432</v>
      </c>
      <c r="L72" s="357" t="s">
        <v>433</v>
      </c>
    </row>
    <row r="73" spans="1:12" ht="5.25" customHeight="1" x14ac:dyDescent="0.2">
      <c r="J73" s="76"/>
      <c r="L73" s="60"/>
    </row>
    <row r="74" spans="1:12" x14ac:dyDescent="0.2">
      <c r="K74" s="32">
        <f>+K70+K56+K45+K35</f>
        <v>0</v>
      </c>
      <c r="L74" s="32">
        <f>+L70+L56+L45+L35</f>
        <v>0</v>
      </c>
    </row>
    <row r="75" spans="1:12" x14ac:dyDescent="0.2">
      <c r="H75" s="159"/>
    </row>
  </sheetData>
  <mergeCells count="98">
    <mergeCell ref="B61:E61"/>
    <mergeCell ref="I61:J61"/>
    <mergeCell ref="K61:L61"/>
    <mergeCell ref="A63:L63"/>
    <mergeCell ref="G65:H65"/>
    <mergeCell ref="I65:L65"/>
    <mergeCell ref="B58:E58"/>
    <mergeCell ref="F58:L58"/>
    <mergeCell ref="B59:E59"/>
    <mergeCell ref="F59:L59"/>
    <mergeCell ref="B60:E60"/>
    <mergeCell ref="F60:L60"/>
    <mergeCell ref="A67:A69"/>
    <mergeCell ref="C67:D67"/>
    <mergeCell ref="E67:F67"/>
    <mergeCell ref="A65:D66"/>
    <mergeCell ref="E65:F66"/>
    <mergeCell ref="C68:D68"/>
    <mergeCell ref="E68:F68"/>
    <mergeCell ref="C69:D69"/>
    <mergeCell ref="E69:F69"/>
    <mergeCell ref="A49:A55"/>
    <mergeCell ref="A47:D48"/>
    <mergeCell ref="E47:F48"/>
    <mergeCell ref="C52:D52"/>
    <mergeCell ref="C53:D53"/>
    <mergeCell ref="C54:D54"/>
    <mergeCell ref="C55:D55"/>
    <mergeCell ref="E49:F49"/>
    <mergeCell ref="E50:F50"/>
    <mergeCell ref="E52:F52"/>
    <mergeCell ref="E53:F53"/>
    <mergeCell ref="E51:F51"/>
    <mergeCell ref="E54:F54"/>
    <mergeCell ref="E55:F55"/>
    <mergeCell ref="E41:F41"/>
    <mergeCell ref="E42:F42"/>
    <mergeCell ref="E43:F43"/>
    <mergeCell ref="E44:F44"/>
    <mergeCell ref="A37:D38"/>
    <mergeCell ref="I47:L47"/>
    <mergeCell ref="C49:D49"/>
    <mergeCell ref="C50:D50"/>
    <mergeCell ref="C51:D51"/>
    <mergeCell ref="G47:H47"/>
    <mergeCell ref="F21:L21"/>
    <mergeCell ref="B22:E22"/>
    <mergeCell ref="F22:L22"/>
    <mergeCell ref="A19:L19"/>
    <mergeCell ref="A39:A44"/>
    <mergeCell ref="C39:D39"/>
    <mergeCell ref="C40:D40"/>
    <mergeCell ref="C41:D41"/>
    <mergeCell ref="C42:D42"/>
    <mergeCell ref="C43:D43"/>
    <mergeCell ref="C44:D44"/>
    <mergeCell ref="E37:F38"/>
    <mergeCell ref="G37:H37"/>
    <mergeCell ref="I37:L37"/>
    <mergeCell ref="E39:F39"/>
    <mergeCell ref="E40:F40"/>
    <mergeCell ref="A1:H1"/>
    <mergeCell ref="A2:H2"/>
    <mergeCell ref="A3:C3"/>
    <mergeCell ref="E3:H3"/>
    <mergeCell ref="A4:H4"/>
    <mergeCell ref="C30:D30"/>
    <mergeCell ref="C32:D32"/>
    <mergeCell ref="C34:D34"/>
    <mergeCell ref="A5:H5"/>
    <mergeCell ref="A6:H6"/>
    <mergeCell ref="A8:L9"/>
    <mergeCell ref="A10:C10"/>
    <mergeCell ref="B23:E23"/>
    <mergeCell ref="F23:L23"/>
    <mergeCell ref="A12:L12"/>
    <mergeCell ref="A14:B14"/>
    <mergeCell ref="C14:L14"/>
    <mergeCell ref="A15:B15"/>
    <mergeCell ref="C15:L15"/>
    <mergeCell ref="A17:L17"/>
    <mergeCell ref="B21:E21"/>
    <mergeCell ref="E34:F34"/>
    <mergeCell ref="C33:D33"/>
    <mergeCell ref="E33:F33"/>
    <mergeCell ref="B24:E24"/>
    <mergeCell ref="A26:L26"/>
    <mergeCell ref="A30:A34"/>
    <mergeCell ref="E31:F31"/>
    <mergeCell ref="E32:F32"/>
    <mergeCell ref="G28:H28"/>
    <mergeCell ref="A28:D29"/>
    <mergeCell ref="E28:F29"/>
    <mergeCell ref="C31:D31"/>
    <mergeCell ref="I28:L28"/>
    <mergeCell ref="I24:J24"/>
    <mergeCell ref="K24:L24"/>
    <mergeCell ref="E30:F30"/>
  </mergeCells>
  <pageMargins left="0.82677165354330717" right="0.11811023622047245" top="0.6692913385826772" bottom="0.31496062992125984" header="0.31496062992125984" footer="0.11811023622047245"/>
  <pageSetup paperSize="9" scale="75" orientation="landscape" r:id="rId1"/>
  <headerFooter>
    <oddFooter>&amp;A</oddFooter>
  </headerFooter>
  <rowBreaks count="3" manualBreakCount="3">
    <brk id="36" max="16383" man="1"/>
    <brk id="46" max="16383" man="1"/>
    <brk id="57" max="16383" man="1"/>
  </row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theme="8" tint="-0.249977111117893"/>
  </sheetPr>
  <dimension ref="A1:F183"/>
  <sheetViews>
    <sheetView topLeftCell="A58" workbookViewId="0">
      <selection activeCell="D9" sqref="D9"/>
    </sheetView>
  </sheetViews>
  <sheetFormatPr defaultRowHeight="12.75" x14ac:dyDescent="0.2"/>
  <cols>
    <col min="1" max="1" width="5.625" customWidth="1"/>
    <col min="2" max="2" width="50.5" customWidth="1"/>
    <col min="3" max="3" width="9.375" bestFit="1" customWidth="1"/>
    <col min="4" max="4" width="15.625" customWidth="1"/>
    <col min="5" max="5" width="11.75" bestFit="1" customWidth="1"/>
  </cols>
  <sheetData>
    <row r="1" spans="1:6" x14ac:dyDescent="0.2">
      <c r="A1" s="477" t="s">
        <v>211</v>
      </c>
      <c r="B1" s="478"/>
      <c r="C1" s="478"/>
      <c r="D1" s="479"/>
      <c r="E1" s="3"/>
      <c r="F1" s="3"/>
    </row>
    <row r="3" spans="1:6" x14ac:dyDescent="0.2">
      <c r="A3" s="463" t="s">
        <v>16</v>
      </c>
      <c r="B3" s="464"/>
      <c r="C3" s="464"/>
      <c r="D3" s="465"/>
    </row>
    <row r="4" spans="1:6" s="1" customFormat="1" ht="28.5" customHeight="1" x14ac:dyDescent="0.2">
      <c r="A4" s="167">
        <v>1</v>
      </c>
      <c r="B4" s="166" t="s">
        <v>17</v>
      </c>
      <c r="C4" s="526" t="s">
        <v>354</v>
      </c>
      <c r="D4" s="527"/>
    </row>
    <row r="5" spans="1:6" s="1" customFormat="1" x14ac:dyDescent="0.2">
      <c r="A5" s="167">
        <v>2</v>
      </c>
      <c r="B5" s="166" t="s">
        <v>18</v>
      </c>
      <c r="C5" s="528" t="s">
        <v>295</v>
      </c>
      <c r="D5" s="529"/>
    </row>
    <row r="6" spans="1:6" s="1" customFormat="1" x14ac:dyDescent="0.2">
      <c r="A6" s="167">
        <v>3</v>
      </c>
      <c r="B6" s="166" t="s">
        <v>19</v>
      </c>
      <c r="C6" s="484"/>
      <c r="D6" s="484"/>
    </row>
    <row r="7" spans="1:6" s="1" customFormat="1" ht="46.5" customHeight="1" x14ac:dyDescent="0.2">
      <c r="A7" s="167">
        <v>4</v>
      </c>
      <c r="B7" s="166" t="s">
        <v>21</v>
      </c>
      <c r="C7" s="530" t="s">
        <v>296</v>
      </c>
      <c r="D7" s="531"/>
    </row>
    <row r="8" spans="1:6" s="1" customFormat="1" x14ac:dyDescent="0.2">
      <c r="A8" s="167">
        <v>5</v>
      </c>
      <c r="B8" s="166" t="s">
        <v>20</v>
      </c>
      <c r="C8" s="532">
        <v>43160</v>
      </c>
      <c r="D8" s="529"/>
    </row>
    <row r="9" spans="1:6" x14ac:dyDescent="0.2">
      <c r="D9" s="201"/>
    </row>
    <row r="10" spans="1:6" x14ac:dyDescent="0.2">
      <c r="A10" s="455" t="s">
        <v>22</v>
      </c>
      <c r="B10" s="455"/>
      <c r="C10" s="455"/>
      <c r="D10" s="455"/>
    </row>
    <row r="11" spans="1:6" x14ac:dyDescent="0.2">
      <c r="A11" s="4">
        <v>1</v>
      </c>
      <c r="B11" s="94" t="s">
        <v>23</v>
      </c>
      <c r="C11" s="152" t="s">
        <v>50</v>
      </c>
      <c r="D11" s="5" t="s">
        <v>24</v>
      </c>
    </row>
    <row r="12" spans="1:6" x14ac:dyDescent="0.2">
      <c r="A12" s="153" t="s">
        <v>3</v>
      </c>
      <c r="B12" s="388" t="s">
        <v>30</v>
      </c>
      <c r="C12" s="388"/>
      <c r="D12" s="7">
        <f>+C6</f>
        <v>0</v>
      </c>
    </row>
    <row r="13" spans="1:6" x14ac:dyDescent="0.2">
      <c r="A13" s="153" t="s">
        <v>4</v>
      </c>
      <c r="B13" s="89" t="s">
        <v>31</v>
      </c>
      <c r="C13" s="95">
        <v>0.3</v>
      </c>
      <c r="D13" s="7">
        <f>+C13*D12</f>
        <v>0</v>
      </c>
      <c r="E13" s="88"/>
    </row>
    <row r="14" spans="1:6" x14ac:dyDescent="0.2">
      <c r="A14" s="153" t="s">
        <v>5</v>
      </c>
      <c r="B14" s="89" t="s">
        <v>32</v>
      </c>
      <c r="C14" s="95"/>
      <c r="D14" s="7"/>
    </row>
    <row r="15" spans="1:6" x14ac:dyDescent="0.2">
      <c r="A15" s="153" t="s">
        <v>6</v>
      </c>
      <c r="B15" s="388" t="s">
        <v>33</v>
      </c>
      <c r="C15" s="388"/>
      <c r="D15" s="7"/>
    </row>
    <row r="16" spans="1:6" x14ac:dyDescent="0.2">
      <c r="A16" s="153" t="s">
        <v>25</v>
      </c>
      <c r="B16" s="388" t="s">
        <v>34</v>
      </c>
      <c r="C16" s="388"/>
      <c r="D16" s="7"/>
    </row>
    <row r="17" spans="1:6" x14ac:dyDescent="0.2">
      <c r="A17" s="153" t="s">
        <v>26</v>
      </c>
      <c r="B17" s="468" t="s">
        <v>231</v>
      </c>
      <c r="C17" s="469"/>
      <c r="D17" s="7"/>
    </row>
    <row r="18" spans="1:6" x14ac:dyDescent="0.2">
      <c r="A18" s="153" t="s">
        <v>27</v>
      </c>
      <c r="B18" s="388" t="s">
        <v>35</v>
      </c>
      <c r="C18" s="388"/>
      <c r="D18" s="7"/>
    </row>
    <row r="19" spans="1:6" x14ac:dyDescent="0.2">
      <c r="A19" s="153" t="s">
        <v>28</v>
      </c>
      <c r="B19" s="468" t="s">
        <v>195</v>
      </c>
      <c r="C19" s="469"/>
      <c r="D19" s="93"/>
    </row>
    <row r="20" spans="1:6" x14ac:dyDescent="0.2">
      <c r="A20" s="153" t="s">
        <v>64</v>
      </c>
      <c r="B20" s="89" t="s">
        <v>65</v>
      </c>
      <c r="C20" s="95"/>
      <c r="D20" s="7"/>
    </row>
    <row r="21" spans="1:6" x14ac:dyDescent="0.2">
      <c r="A21" s="153" t="s">
        <v>194</v>
      </c>
      <c r="B21" s="388" t="s">
        <v>95</v>
      </c>
      <c r="C21" s="388"/>
      <c r="D21" s="8"/>
      <c r="F21" s="98"/>
    </row>
    <row r="22" spans="1:6" x14ac:dyDescent="0.2">
      <c r="A22" s="153" t="s">
        <v>196</v>
      </c>
      <c r="B22" s="388" t="s">
        <v>36</v>
      </c>
      <c r="C22" s="388"/>
      <c r="D22" s="8"/>
    </row>
    <row r="23" spans="1:6" x14ac:dyDescent="0.2">
      <c r="A23" s="474" t="s">
        <v>29</v>
      </c>
      <c r="B23" s="474"/>
      <c r="C23" s="474"/>
      <c r="D23" s="9">
        <f>SUM(D12:D22)</f>
        <v>0</v>
      </c>
    </row>
    <row r="25" spans="1:6" x14ac:dyDescent="0.2">
      <c r="A25" s="455" t="s">
        <v>37</v>
      </c>
      <c r="B25" s="455"/>
      <c r="C25" s="455"/>
      <c r="D25" s="455"/>
    </row>
    <row r="27" spans="1:6" x14ac:dyDescent="0.2">
      <c r="A27" s="455" t="s">
        <v>38</v>
      </c>
      <c r="B27" s="455"/>
      <c r="C27" s="455"/>
      <c r="D27" s="455"/>
    </row>
    <row r="28" spans="1:6" x14ac:dyDescent="0.2">
      <c r="A28" s="19" t="s">
        <v>39</v>
      </c>
      <c r="B28" s="14" t="s">
        <v>40</v>
      </c>
      <c r="C28" s="22" t="s">
        <v>50</v>
      </c>
      <c r="D28" s="20" t="s">
        <v>24</v>
      </c>
    </row>
    <row r="29" spans="1:6" x14ac:dyDescent="0.2">
      <c r="A29" s="153" t="s">
        <v>3</v>
      </c>
      <c r="B29" s="6" t="s">
        <v>46</v>
      </c>
      <c r="C29" s="29" t="e">
        <f>ROUND(+D29/$D$23,4)</f>
        <v>#DIV/0!</v>
      </c>
      <c r="D29" s="8">
        <f>ROUND(+D23/12,2)</f>
        <v>0</v>
      </c>
    </row>
    <row r="30" spans="1:6" x14ac:dyDescent="0.2">
      <c r="A30" s="28" t="s">
        <v>4</v>
      </c>
      <c r="B30" s="37" t="s">
        <v>43</v>
      </c>
      <c r="C30" s="38" t="e">
        <f>ROUND(+D30/$D$23,4)</f>
        <v>#DIV/0!</v>
      </c>
      <c r="D30" s="39">
        <f>+D31+D32</f>
        <v>0</v>
      </c>
    </row>
    <row r="31" spans="1:6" x14ac:dyDescent="0.2">
      <c r="A31" s="153" t="s">
        <v>41</v>
      </c>
      <c r="B31" s="35" t="s">
        <v>45</v>
      </c>
      <c r="C31" s="40" t="e">
        <f>ROUND(+D31/$D$23,4)</f>
        <v>#DIV/0!</v>
      </c>
      <c r="D31" s="36">
        <f>ROUND(+D23/12,2)</f>
        <v>0</v>
      </c>
    </row>
    <row r="32" spans="1:6" x14ac:dyDescent="0.2">
      <c r="A32" s="153" t="s">
        <v>42</v>
      </c>
      <c r="B32" s="35" t="s">
        <v>44</v>
      </c>
      <c r="C32" s="40" t="e">
        <f>ROUND(+D32/$D$23,4)</f>
        <v>#DIV/0!</v>
      </c>
      <c r="D32" s="36">
        <f>ROUND(+(D23*1/3)/12,2)</f>
        <v>0</v>
      </c>
    </row>
    <row r="33" spans="1:4" x14ac:dyDescent="0.2">
      <c r="A33" s="474" t="s">
        <v>29</v>
      </c>
      <c r="B33" s="474"/>
      <c r="C33" s="474"/>
      <c r="D33" s="9">
        <f>+D30+D29</f>
        <v>0</v>
      </c>
    </row>
    <row r="35" spans="1:4" x14ac:dyDescent="0.2">
      <c r="A35" s="467" t="s">
        <v>47</v>
      </c>
      <c r="B35" s="467"/>
      <c r="C35" s="467"/>
      <c r="D35" s="467"/>
    </row>
    <row r="36" spans="1:4" x14ac:dyDescent="0.2">
      <c r="A36" s="19" t="s">
        <v>48</v>
      </c>
      <c r="B36" s="21" t="s">
        <v>49</v>
      </c>
      <c r="C36" s="22" t="s">
        <v>50</v>
      </c>
      <c r="D36" s="20" t="s">
        <v>24</v>
      </c>
    </row>
    <row r="37" spans="1:4" x14ac:dyDescent="0.2">
      <c r="A37" s="153" t="s">
        <v>3</v>
      </c>
      <c r="B37" s="6" t="s">
        <v>51</v>
      </c>
      <c r="C37" s="17">
        <v>0.2</v>
      </c>
      <c r="D37" s="18">
        <f>ROUND(C37*($D$23+$D$33),2)</f>
        <v>0</v>
      </c>
    </row>
    <row r="38" spans="1:4" x14ac:dyDescent="0.2">
      <c r="A38" s="153" t="s">
        <v>4</v>
      </c>
      <c r="B38" s="6" t="s">
        <v>52</v>
      </c>
      <c r="C38" s="17">
        <v>2.5000000000000001E-2</v>
      </c>
      <c r="D38" s="18">
        <f t="shared" ref="D38:D43" si="0">ROUND(C38*($D$23+$D$33),2)</f>
        <v>0</v>
      </c>
    </row>
    <row r="39" spans="1:4" x14ac:dyDescent="0.2">
      <c r="A39" s="153" t="s">
        <v>5</v>
      </c>
      <c r="B39" s="6" t="s">
        <v>58</v>
      </c>
      <c r="C39" s="17">
        <f>3%</f>
        <v>0.03</v>
      </c>
      <c r="D39" s="18">
        <f t="shared" si="0"/>
        <v>0</v>
      </c>
    </row>
    <row r="40" spans="1:4" x14ac:dyDescent="0.2">
      <c r="A40" s="153" t="s">
        <v>6</v>
      </c>
      <c r="B40" s="6" t="s">
        <v>53</v>
      </c>
      <c r="C40" s="17">
        <v>1.4999999999999999E-2</v>
      </c>
      <c r="D40" s="18">
        <f t="shared" si="0"/>
        <v>0</v>
      </c>
    </row>
    <row r="41" spans="1:4" x14ac:dyDescent="0.2">
      <c r="A41" s="153" t="s">
        <v>25</v>
      </c>
      <c r="B41" s="6" t="s">
        <v>54</v>
      </c>
      <c r="C41" s="17">
        <v>0.01</v>
      </c>
      <c r="D41" s="18">
        <f t="shared" si="0"/>
        <v>0</v>
      </c>
    </row>
    <row r="42" spans="1:4" x14ac:dyDescent="0.2">
      <c r="A42" s="153" t="s">
        <v>26</v>
      </c>
      <c r="B42" s="6" t="s">
        <v>55</v>
      </c>
      <c r="C42" s="17">
        <v>6.0000000000000001E-3</v>
      </c>
      <c r="D42" s="18">
        <f t="shared" si="0"/>
        <v>0</v>
      </c>
    </row>
    <row r="43" spans="1:4" x14ac:dyDescent="0.2">
      <c r="A43" s="153" t="s">
        <v>27</v>
      </c>
      <c r="B43" s="6" t="s">
        <v>56</v>
      </c>
      <c r="C43" s="17">
        <v>2E-3</v>
      </c>
      <c r="D43" s="18">
        <f t="shared" si="0"/>
        <v>0</v>
      </c>
    </row>
    <row r="44" spans="1:4" x14ac:dyDescent="0.2">
      <c r="A44" s="153" t="s">
        <v>28</v>
      </c>
      <c r="B44" s="6" t="s">
        <v>57</v>
      </c>
      <c r="C44" s="17">
        <v>0.08</v>
      </c>
      <c r="D44" s="18">
        <f>ROUND(C44*($D$23+$D$33),2)</f>
        <v>0</v>
      </c>
    </row>
    <row r="45" spans="1:4" x14ac:dyDescent="0.2">
      <c r="A45" s="154" t="s">
        <v>29</v>
      </c>
      <c r="B45" s="155"/>
      <c r="C45" s="41">
        <f>SUM(C37:C44)</f>
        <v>0.36800000000000005</v>
      </c>
      <c r="D45" s="42">
        <f>SUM(D37:D44)</f>
        <v>0</v>
      </c>
    </row>
    <row r="46" spans="1:4" x14ac:dyDescent="0.2">
      <c r="A46" s="43"/>
      <c r="B46" s="43"/>
      <c r="C46" s="43"/>
      <c r="D46" s="43"/>
    </row>
    <row r="47" spans="1:4" ht="12.75" customHeight="1" x14ac:dyDescent="0.2">
      <c r="A47" s="467" t="s">
        <v>59</v>
      </c>
      <c r="B47" s="467"/>
      <c r="C47" s="467"/>
      <c r="D47" s="467"/>
    </row>
    <row r="48" spans="1:4" x14ac:dyDescent="0.2">
      <c r="A48" s="19" t="s">
        <v>60</v>
      </c>
      <c r="B48" s="21" t="s">
        <v>61</v>
      </c>
      <c r="C48" s="22"/>
      <c r="D48" s="20" t="s">
        <v>24</v>
      </c>
    </row>
    <row r="49" spans="1:6" x14ac:dyDescent="0.2">
      <c r="A49" s="107" t="s">
        <v>3</v>
      </c>
      <c r="B49" s="6" t="s">
        <v>62</v>
      </c>
      <c r="C49" s="54"/>
      <c r="D49" s="18">
        <f>+'Calculo 12 36 Diu Des'!C107</f>
        <v>0</v>
      </c>
    </row>
    <row r="50" spans="1:6" s="60" customFormat="1" x14ac:dyDescent="0.2">
      <c r="A50" s="75" t="s">
        <v>177</v>
      </c>
      <c r="B50" s="34" t="s">
        <v>178</v>
      </c>
      <c r="C50" s="29">
        <f>+$C$135+$C$136</f>
        <v>3.6499999999999998E-2</v>
      </c>
      <c r="D50" s="77">
        <f>+(C50*D49)*-1</f>
        <v>0</v>
      </c>
      <c r="F50" s="76"/>
    </row>
    <row r="51" spans="1:6" x14ac:dyDescent="0.2">
      <c r="A51" s="107" t="s">
        <v>4</v>
      </c>
      <c r="B51" s="6" t="s">
        <v>63</v>
      </c>
      <c r="C51" s="54"/>
      <c r="D51" s="18">
        <f>+'Calculo 12 36 Diu Des'!C116</f>
        <v>0</v>
      </c>
      <c r="F51" s="61"/>
    </row>
    <row r="52" spans="1:6" s="60" customFormat="1" x14ac:dyDescent="0.2">
      <c r="A52" s="75" t="s">
        <v>41</v>
      </c>
      <c r="B52" s="34" t="s">
        <v>178</v>
      </c>
      <c r="C52" s="29">
        <f>+$C$135+$C$136</f>
        <v>3.6499999999999998E-2</v>
      </c>
      <c r="D52" s="77">
        <f>+(C52*D51)*-1</f>
        <v>0</v>
      </c>
      <c r="F52" s="78"/>
    </row>
    <row r="53" spans="1:6" x14ac:dyDescent="0.2">
      <c r="A53" s="6" t="s">
        <v>5</v>
      </c>
      <c r="B53" s="6" t="s">
        <v>66</v>
      </c>
      <c r="C53" s="54"/>
      <c r="D53" s="18"/>
      <c r="F53" s="61"/>
    </row>
    <row r="54" spans="1:6" x14ac:dyDescent="0.2">
      <c r="A54" s="75" t="s">
        <v>161</v>
      </c>
      <c r="B54" s="34" t="s">
        <v>178</v>
      </c>
      <c r="C54" s="29">
        <f>+$C$135+$C$136</f>
        <v>3.6499999999999998E-2</v>
      </c>
      <c r="D54" s="77">
        <f>+(C54*D53)*-1</f>
        <v>0</v>
      </c>
      <c r="F54" s="61"/>
    </row>
    <row r="55" spans="1:6" x14ac:dyDescent="0.2">
      <c r="A55" s="116" t="s">
        <v>6</v>
      </c>
      <c r="B55" s="116" t="s">
        <v>403</v>
      </c>
      <c r="C55" s="54"/>
      <c r="D55" s="377"/>
      <c r="F55" s="61"/>
    </row>
    <row r="56" spans="1:6" x14ac:dyDescent="0.2">
      <c r="A56" s="75" t="s">
        <v>179</v>
      </c>
      <c r="B56" s="34" t="s">
        <v>178</v>
      </c>
      <c r="C56" s="29">
        <f>+$C$135+$C$136</f>
        <v>3.6499999999999998E-2</v>
      </c>
      <c r="D56" s="77">
        <f>+(C56*D55)*-1</f>
        <v>0</v>
      </c>
      <c r="F56" s="61"/>
    </row>
    <row r="57" spans="1:6" x14ac:dyDescent="0.2">
      <c r="A57" s="116" t="s">
        <v>25</v>
      </c>
      <c r="B57" s="116" t="s">
        <v>436</v>
      </c>
      <c r="C57" s="54"/>
      <c r="D57" s="378"/>
      <c r="F57" s="131"/>
    </row>
    <row r="58" spans="1:6" x14ac:dyDescent="0.2">
      <c r="A58" s="75" t="s">
        <v>180</v>
      </c>
      <c r="B58" s="34" t="s">
        <v>178</v>
      </c>
      <c r="C58" s="29">
        <f>+$C$135+$C$136</f>
        <v>3.6499999999999998E-2</v>
      </c>
      <c r="D58" s="77">
        <f>+(C58*D57)*-1</f>
        <v>0</v>
      </c>
    </row>
    <row r="59" spans="1:6" x14ac:dyDescent="0.2">
      <c r="A59" s="116" t="s">
        <v>26</v>
      </c>
      <c r="B59" s="454" t="s">
        <v>293</v>
      </c>
      <c r="C59" s="454"/>
      <c r="D59" s="377"/>
    </row>
    <row r="60" spans="1:6" x14ac:dyDescent="0.2">
      <c r="A60" s="75" t="s">
        <v>81</v>
      </c>
      <c r="B60" s="34" t="s">
        <v>178</v>
      </c>
      <c r="C60" s="29">
        <f>+$C$135+$C$136</f>
        <v>3.6499999999999998E-2</v>
      </c>
      <c r="D60" s="77">
        <f>+(C60*D59)*-1</f>
        <v>0</v>
      </c>
    </row>
    <row r="61" spans="1:6" x14ac:dyDescent="0.2">
      <c r="A61" s="463" t="s">
        <v>29</v>
      </c>
      <c r="B61" s="465"/>
      <c r="C61" s="16"/>
      <c r="D61" s="110">
        <f>SUM(D49:D60)</f>
        <v>0</v>
      </c>
    </row>
    <row r="63" spans="1:6" x14ac:dyDescent="0.2">
      <c r="A63" s="455" t="s">
        <v>67</v>
      </c>
      <c r="B63" s="455"/>
      <c r="C63" s="455"/>
      <c r="D63" s="455"/>
    </row>
    <row r="64" spans="1:6" x14ac:dyDescent="0.2">
      <c r="A64" s="24">
        <v>2</v>
      </c>
      <c r="B64" s="455" t="s">
        <v>68</v>
      </c>
      <c r="C64" s="455"/>
      <c r="D64" s="158" t="s">
        <v>24</v>
      </c>
    </row>
    <row r="65" spans="1:4" x14ac:dyDescent="0.2">
      <c r="A65" s="25" t="s">
        <v>39</v>
      </c>
      <c r="B65" s="466" t="s">
        <v>40</v>
      </c>
      <c r="C65" s="466"/>
      <c r="D65" s="18">
        <f>+D33</f>
        <v>0</v>
      </c>
    </row>
    <row r="66" spans="1:4" x14ac:dyDescent="0.2">
      <c r="A66" s="25" t="s">
        <v>48</v>
      </c>
      <c r="B66" s="466" t="s">
        <v>49</v>
      </c>
      <c r="C66" s="466"/>
      <c r="D66" s="18">
        <f>+D45</f>
        <v>0</v>
      </c>
    </row>
    <row r="67" spans="1:4" x14ac:dyDescent="0.2">
      <c r="A67" s="25" t="s">
        <v>60</v>
      </c>
      <c r="B67" s="466" t="s">
        <v>61</v>
      </c>
      <c r="C67" s="466"/>
      <c r="D67" s="68">
        <f>+D61</f>
        <v>0</v>
      </c>
    </row>
    <row r="68" spans="1:4" x14ac:dyDescent="0.2">
      <c r="A68" s="455" t="s">
        <v>29</v>
      </c>
      <c r="B68" s="455"/>
      <c r="C68" s="455"/>
      <c r="D68" s="26">
        <f>SUM(D65:D67)</f>
        <v>0</v>
      </c>
    </row>
    <row r="70" spans="1:4" x14ac:dyDescent="0.2">
      <c r="A70" s="455" t="s">
        <v>69</v>
      </c>
      <c r="B70" s="455"/>
      <c r="C70" s="455"/>
      <c r="D70" s="455"/>
    </row>
    <row r="72" spans="1:4" x14ac:dyDescent="0.2">
      <c r="A72" s="13">
        <v>3</v>
      </c>
      <c r="B72" s="14" t="s">
        <v>70</v>
      </c>
      <c r="C72" s="152" t="s">
        <v>50</v>
      </c>
      <c r="D72" s="152" t="s">
        <v>24</v>
      </c>
    </row>
    <row r="73" spans="1:4" x14ac:dyDescent="0.2">
      <c r="A73" s="153" t="s">
        <v>3</v>
      </c>
      <c r="B73" s="34" t="s">
        <v>72</v>
      </c>
      <c r="C73" s="29" t="e">
        <f>+D73/$D$23</f>
        <v>#DIV/0!</v>
      </c>
      <c r="D73" s="118">
        <f>+'Calculo 12 36 Diu Des'!C122</f>
        <v>0</v>
      </c>
    </row>
    <row r="74" spans="1:4" x14ac:dyDescent="0.2">
      <c r="A74" s="153" t="s">
        <v>4</v>
      </c>
      <c r="B74" s="6" t="s">
        <v>73</v>
      </c>
      <c r="C74" s="52"/>
      <c r="D74" s="8">
        <f>ROUND(+D73*$C$44,2)</f>
        <v>0</v>
      </c>
    </row>
    <row r="75" spans="1:4" ht="25.5" x14ac:dyDescent="0.2">
      <c r="A75" s="153" t="s">
        <v>5</v>
      </c>
      <c r="B75" s="30" t="s">
        <v>75</v>
      </c>
      <c r="C75" s="17" t="e">
        <f>+D75/$D$23</f>
        <v>#DIV/0!</v>
      </c>
      <c r="D75" s="8">
        <f>+'Calculo 12 36 Diu Des'!C136</f>
        <v>0</v>
      </c>
    </row>
    <row r="76" spans="1:4" x14ac:dyDescent="0.2">
      <c r="A76" s="108" t="s">
        <v>6</v>
      </c>
      <c r="B76" s="6" t="s">
        <v>71</v>
      </c>
      <c r="C76" s="17" t="e">
        <f>+D76/$D$23</f>
        <v>#DIV/0!</v>
      </c>
      <c r="D76" s="8">
        <f>+'Calculo 12 36 Diu Des'!C144</f>
        <v>0</v>
      </c>
    </row>
    <row r="77" spans="1:4" ht="25.5" x14ac:dyDescent="0.2">
      <c r="A77" s="108" t="s">
        <v>25</v>
      </c>
      <c r="B77" s="30" t="s">
        <v>74</v>
      </c>
      <c r="C77" s="52"/>
      <c r="D77" s="384"/>
    </row>
    <row r="78" spans="1:4" ht="25.5" x14ac:dyDescent="0.2">
      <c r="A78" s="108" t="s">
        <v>26</v>
      </c>
      <c r="B78" s="30" t="s">
        <v>76</v>
      </c>
      <c r="C78" s="17" t="e">
        <f>+D78/$D$23</f>
        <v>#DIV/0!</v>
      </c>
      <c r="D78" s="18">
        <f>+'Calculo 12 36 Diu Des'!C158</f>
        <v>0</v>
      </c>
    </row>
    <row r="79" spans="1:4" x14ac:dyDescent="0.2">
      <c r="A79" s="463" t="s">
        <v>29</v>
      </c>
      <c r="B79" s="464"/>
      <c r="C79" s="465"/>
      <c r="D79" s="32">
        <f>SUM(D73:D78)</f>
        <v>0</v>
      </c>
    </row>
    <row r="81" spans="1:4" x14ac:dyDescent="0.2">
      <c r="A81" s="455" t="s">
        <v>84</v>
      </c>
      <c r="B81" s="455"/>
      <c r="C81" s="455"/>
      <c r="D81" s="455"/>
    </row>
    <row r="83" spans="1:4" x14ac:dyDescent="0.2">
      <c r="A83" s="467" t="s">
        <v>87</v>
      </c>
      <c r="B83" s="467"/>
      <c r="C83" s="467"/>
      <c r="D83" s="467"/>
    </row>
    <row r="84" spans="1:4" x14ac:dyDescent="0.2">
      <c r="A84" s="13" t="s">
        <v>85</v>
      </c>
      <c r="B84" s="463" t="s">
        <v>86</v>
      </c>
      <c r="C84" s="465"/>
      <c r="D84" s="152" t="s">
        <v>24</v>
      </c>
    </row>
    <row r="85" spans="1:4" x14ac:dyDescent="0.2">
      <c r="A85" s="6" t="s">
        <v>3</v>
      </c>
      <c r="B85" s="470" t="s">
        <v>88</v>
      </c>
      <c r="C85" s="471"/>
      <c r="D85" s="8"/>
    </row>
    <row r="86" spans="1:4" x14ac:dyDescent="0.2">
      <c r="A86" s="34" t="s">
        <v>4</v>
      </c>
      <c r="B86" s="488" t="s">
        <v>86</v>
      </c>
      <c r="C86" s="489"/>
      <c r="D86" s="120">
        <f>+'Calculo 12 36 Diu Des'!C171</f>
        <v>0</v>
      </c>
    </row>
    <row r="87" spans="1:4" s="60" customFormat="1" x14ac:dyDescent="0.2">
      <c r="A87" s="34" t="s">
        <v>5</v>
      </c>
      <c r="B87" s="488" t="s">
        <v>89</v>
      </c>
      <c r="C87" s="489"/>
      <c r="D87" s="120">
        <f>+'Calculo 12 36 Diu Des'!C180</f>
        <v>0</v>
      </c>
    </row>
    <row r="88" spans="1:4" s="60" customFormat="1" x14ac:dyDescent="0.2">
      <c r="A88" s="34" t="s">
        <v>6</v>
      </c>
      <c r="B88" s="488" t="s">
        <v>90</v>
      </c>
      <c r="C88" s="489"/>
      <c r="D88" s="120">
        <f>+'Calculo 12 36 Diu Des'!C188</f>
        <v>0</v>
      </c>
    </row>
    <row r="89" spans="1:4" s="60" customFormat="1" ht="13.5" x14ac:dyDescent="0.2">
      <c r="A89" s="34" t="s">
        <v>25</v>
      </c>
      <c r="B89" s="488" t="s">
        <v>287</v>
      </c>
      <c r="C89" s="489"/>
      <c r="D89" s="120"/>
    </row>
    <row r="90" spans="1:4" s="60" customFormat="1" x14ac:dyDescent="0.2">
      <c r="A90" s="34" t="s">
        <v>26</v>
      </c>
      <c r="B90" s="488" t="s">
        <v>93</v>
      </c>
      <c r="C90" s="489"/>
      <c r="D90" s="120">
        <f>+'Calculo 12 36 Diu Des'!C196</f>
        <v>0</v>
      </c>
    </row>
    <row r="91" spans="1:4" x14ac:dyDescent="0.2">
      <c r="A91" s="6" t="s">
        <v>27</v>
      </c>
      <c r="B91" s="470" t="s">
        <v>36</v>
      </c>
      <c r="C91" s="471"/>
      <c r="D91" s="8"/>
    </row>
    <row r="92" spans="1:4" x14ac:dyDescent="0.2">
      <c r="A92" s="6" t="s">
        <v>28</v>
      </c>
      <c r="B92" s="470" t="s">
        <v>94</v>
      </c>
      <c r="C92" s="471"/>
      <c r="D92" s="384"/>
    </row>
    <row r="93" spans="1:4" x14ac:dyDescent="0.2">
      <c r="A93" s="474" t="s">
        <v>29</v>
      </c>
      <c r="B93" s="474"/>
      <c r="C93" s="474"/>
      <c r="D93" s="9">
        <f>SUM(D85:D92)</f>
        <v>0</v>
      </c>
    </row>
    <row r="94" spans="1:4" x14ac:dyDescent="0.2">
      <c r="D94" s="15"/>
    </row>
    <row r="95" spans="1:4" x14ac:dyDescent="0.2">
      <c r="A95" s="13" t="s">
        <v>99</v>
      </c>
      <c r="B95" s="463" t="s">
        <v>92</v>
      </c>
      <c r="C95" s="465"/>
      <c r="D95" s="152" t="s">
        <v>24</v>
      </c>
    </row>
    <row r="96" spans="1:4" s="60" customFormat="1" x14ac:dyDescent="0.2">
      <c r="A96" s="34" t="s">
        <v>3</v>
      </c>
      <c r="B96" s="475" t="s">
        <v>96</v>
      </c>
      <c r="C96" s="476"/>
      <c r="D96" s="120">
        <f>+'Calculo 12 36 Diu Des'!C220</f>
        <v>0</v>
      </c>
    </row>
    <row r="97" spans="1:4" s="60" customFormat="1" ht="27.75" customHeight="1" x14ac:dyDescent="0.2">
      <c r="A97" s="34" t="s">
        <v>4</v>
      </c>
      <c r="B97" s="490" t="s">
        <v>98</v>
      </c>
      <c r="C97" s="491"/>
      <c r="D97" s="384"/>
    </row>
    <row r="98" spans="1:4" s="60" customFormat="1" ht="27.75" customHeight="1" x14ac:dyDescent="0.2">
      <c r="A98" s="34" t="s">
        <v>5</v>
      </c>
      <c r="B98" s="490" t="s">
        <v>97</v>
      </c>
      <c r="C98" s="491"/>
      <c r="D98" s="384"/>
    </row>
    <row r="99" spans="1:4" x14ac:dyDescent="0.2">
      <c r="A99" s="6" t="s">
        <v>6</v>
      </c>
      <c r="B99" s="470" t="s">
        <v>36</v>
      </c>
      <c r="C99" s="471"/>
      <c r="D99" s="8"/>
    </row>
    <row r="100" spans="1:4" x14ac:dyDescent="0.2">
      <c r="A100" s="474" t="s">
        <v>29</v>
      </c>
      <c r="B100" s="474"/>
      <c r="C100" s="474"/>
      <c r="D100" s="9">
        <f>SUM(D96:D99)</f>
        <v>0</v>
      </c>
    </row>
    <row r="101" spans="1:4" x14ac:dyDescent="0.2">
      <c r="D101" s="15"/>
    </row>
    <row r="102" spans="1:4" x14ac:dyDescent="0.2">
      <c r="A102" s="13" t="s">
        <v>91</v>
      </c>
      <c r="B102" s="474" t="s">
        <v>100</v>
      </c>
      <c r="C102" s="474"/>
      <c r="D102" s="152" t="s">
        <v>24</v>
      </c>
    </row>
    <row r="103" spans="1:4" s="50" customFormat="1" ht="33" customHeight="1" x14ac:dyDescent="0.2">
      <c r="A103" s="108" t="s">
        <v>3</v>
      </c>
      <c r="B103" s="492" t="s">
        <v>288</v>
      </c>
      <c r="C103" s="492"/>
      <c r="D103" s="49">
        <f>+'Calculo 12 36 Diu Des'!C209</f>
        <v>0</v>
      </c>
    </row>
    <row r="104" spans="1:4" x14ac:dyDescent="0.2">
      <c r="A104" s="474" t="s">
        <v>29</v>
      </c>
      <c r="B104" s="474"/>
      <c r="C104" s="474"/>
      <c r="D104" s="9">
        <f>SUM(D103:D103)</f>
        <v>0</v>
      </c>
    </row>
    <row r="106" spans="1:4" x14ac:dyDescent="0.2">
      <c r="A106" s="157" t="s">
        <v>109</v>
      </c>
      <c r="B106" s="157"/>
      <c r="C106" s="157"/>
      <c r="D106" s="157"/>
    </row>
    <row r="107" spans="1:4" x14ac:dyDescent="0.2">
      <c r="A107" s="6" t="s">
        <v>85</v>
      </c>
      <c r="B107" s="470" t="s">
        <v>86</v>
      </c>
      <c r="C107" s="471"/>
      <c r="D107" s="18">
        <f>+D93</f>
        <v>0</v>
      </c>
    </row>
    <row r="108" spans="1:4" x14ac:dyDescent="0.2">
      <c r="A108" s="6" t="s">
        <v>99</v>
      </c>
      <c r="B108" s="470" t="s">
        <v>92</v>
      </c>
      <c r="C108" s="471"/>
      <c r="D108" s="18">
        <f>+D100</f>
        <v>0</v>
      </c>
    </row>
    <row r="109" spans="1:4" x14ac:dyDescent="0.2">
      <c r="A109" s="74"/>
      <c r="B109" s="472" t="s">
        <v>110</v>
      </c>
      <c r="C109" s="473"/>
      <c r="D109" s="73">
        <f>+D108+D107</f>
        <v>0</v>
      </c>
    </row>
    <row r="110" spans="1:4" x14ac:dyDescent="0.2">
      <c r="A110" s="6" t="s">
        <v>91</v>
      </c>
      <c r="B110" s="470" t="s">
        <v>100</v>
      </c>
      <c r="C110" s="471"/>
      <c r="D110" s="18">
        <f>+D104</f>
        <v>0</v>
      </c>
    </row>
    <row r="111" spans="1:4" x14ac:dyDescent="0.2">
      <c r="A111" s="494" t="s">
        <v>29</v>
      </c>
      <c r="B111" s="494"/>
      <c r="C111" s="494"/>
      <c r="D111" s="71">
        <f>+D110+D109</f>
        <v>0</v>
      </c>
    </row>
    <row r="113" spans="1:4" x14ac:dyDescent="0.2">
      <c r="A113" s="455" t="s">
        <v>151</v>
      </c>
      <c r="B113" s="455"/>
      <c r="C113" s="455"/>
      <c r="D113" s="455"/>
    </row>
    <row r="115" spans="1:4" x14ac:dyDescent="0.2">
      <c r="A115" s="13">
        <v>5</v>
      </c>
      <c r="B115" s="463" t="s">
        <v>152</v>
      </c>
      <c r="C115" s="465"/>
      <c r="D115" s="152" t="s">
        <v>24</v>
      </c>
    </row>
    <row r="116" spans="1:4" x14ac:dyDescent="0.2">
      <c r="A116" s="6" t="s">
        <v>3</v>
      </c>
      <c r="B116" s="388" t="s">
        <v>153</v>
      </c>
      <c r="C116" s="388"/>
      <c r="D116" s="8">
        <f>+Uniforme!G82</f>
        <v>0</v>
      </c>
    </row>
    <row r="117" spans="1:4" x14ac:dyDescent="0.2">
      <c r="A117" s="6" t="s">
        <v>177</v>
      </c>
      <c r="B117" s="34" t="s">
        <v>178</v>
      </c>
      <c r="C117" s="29">
        <f>+$C$135+$C$136</f>
        <v>3.6499999999999998E-2</v>
      </c>
      <c r="D117" s="77">
        <f>+(C117*D116)*-1</f>
        <v>0</v>
      </c>
    </row>
    <row r="118" spans="1:4" x14ac:dyDescent="0.2">
      <c r="A118" s="6" t="s">
        <v>4</v>
      </c>
      <c r="B118" s="388" t="s">
        <v>154</v>
      </c>
      <c r="C118" s="388"/>
      <c r="D118" s="8"/>
    </row>
    <row r="119" spans="1:4" x14ac:dyDescent="0.2">
      <c r="A119" s="6" t="s">
        <v>41</v>
      </c>
      <c r="B119" s="34" t="s">
        <v>178</v>
      </c>
      <c r="C119" s="29">
        <f>+$C$135+$C$136</f>
        <v>3.6499999999999998E-2</v>
      </c>
      <c r="D119" s="77">
        <f>+(C119*D118)*-1</f>
        <v>0</v>
      </c>
    </row>
    <row r="120" spans="1:4" x14ac:dyDescent="0.2">
      <c r="A120" s="6" t="s">
        <v>5</v>
      </c>
      <c r="B120" s="388" t="s">
        <v>155</v>
      </c>
      <c r="C120" s="388"/>
      <c r="D120" s="8">
        <f>+Uniforme!F89</f>
        <v>0</v>
      </c>
    </row>
    <row r="121" spans="1:4" x14ac:dyDescent="0.2">
      <c r="A121" s="6" t="s">
        <v>161</v>
      </c>
      <c r="B121" s="34" t="s">
        <v>178</v>
      </c>
      <c r="C121" s="29">
        <f>+$C$135+$C$136</f>
        <v>3.6499999999999998E-2</v>
      </c>
      <c r="D121" s="77">
        <f>+(C121*D120)*-1</f>
        <v>0</v>
      </c>
    </row>
    <row r="122" spans="1:4" x14ac:dyDescent="0.2">
      <c r="A122" s="6" t="s">
        <v>6</v>
      </c>
      <c r="B122" s="388" t="s">
        <v>36</v>
      </c>
      <c r="C122" s="388"/>
      <c r="D122" s="8"/>
    </row>
    <row r="123" spans="1:4" x14ac:dyDescent="0.2">
      <c r="A123" s="6" t="s">
        <v>179</v>
      </c>
      <c r="B123" s="34" t="s">
        <v>178</v>
      </c>
      <c r="C123" s="29">
        <f>+$C$135+$C$136</f>
        <v>3.6499999999999998E-2</v>
      </c>
      <c r="D123" s="77">
        <f>+(C123*D122)*-1</f>
        <v>0</v>
      </c>
    </row>
    <row r="124" spans="1:4" x14ac:dyDescent="0.2">
      <c r="A124" s="474" t="s">
        <v>29</v>
      </c>
      <c r="B124" s="474"/>
      <c r="C124" s="474"/>
      <c r="D124" s="9">
        <f>SUM(D116:D122)</f>
        <v>0</v>
      </c>
    </row>
    <row r="126" spans="1:4" x14ac:dyDescent="0.2">
      <c r="A126" s="455" t="s">
        <v>156</v>
      </c>
      <c r="B126" s="455"/>
      <c r="C126" s="455"/>
      <c r="D126" s="455"/>
    </row>
    <row r="128" spans="1:4" x14ac:dyDescent="0.2">
      <c r="A128" s="13">
        <v>6</v>
      </c>
      <c r="B128" s="14" t="s">
        <v>157</v>
      </c>
      <c r="C128" s="156" t="s">
        <v>50</v>
      </c>
      <c r="D128" s="152" t="s">
        <v>24</v>
      </c>
    </row>
    <row r="129" spans="1:4" x14ac:dyDescent="0.2">
      <c r="A129" s="116" t="s">
        <v>3</v>
      </c>
      <c r="B129" s="116" t="s">
        <v>158</v>
      </c>
      <c r="C129" s="114">
        <v>0.03</v>
      </c>
      <c r="D129" s="377">
        <f>($D$124+$D$111+$D$79+$D$68+$D$23)*C129</f>
        <v>0</v>
      </c>
    </row>
    <row r="130" spans="1:4" x14ac:dyDescent="0.2">
      <c r="A130" s="116" t="s">
        <v>4</v>
      </c>
      <c r="B130" s="116" t="s">
        <v>159</v>
      </c>
      <c r="C130" s="114">
        <v>0.03</v>
      </c>
      <c r="D130" s="377">
        <f>($D$124+$D$111+$D$79+$D$68+$D$23+D129)*C130</f>
        <v>0</v>
      </c>
    </row>
    <row r="131" spans="1:4" s="79" customFormat="1" x14ac:dyDescent="0.2">
      <c r="A131" s="495" t="s">
        <v>181</v>
      </c>
      <c r="B131" s="496"/>
      <c r="C131" s="497"/>
      <c r="D131" s="81">
        <f>++D130+D129+D124+D111+D79+D68+D23</f>
        <v>0</v>
      </c>
    </row>
    <row r="132" spans="1:4" s="79" customFormat="1" x14ac:dyDescent="0.2">
      <c r="A132" s="498" t="s">
        <v>182</v>
      </c>
      <c r="B132" s="499"/>
      <c r="C132" s="500"/>
      <c r="D132" s="81">
        <f>ROUND(D131/(1-(C135+C136+C138+C140+C141)),2)</f>
        <v>0</v>
      </c>
    </row>
    <row r="133" spans="1:4" x14ac:dyDescent="0.2">
      <c r="A133" s="6" t="s">
        <v>5</v>
      </c>
      <c r="B133" s="6" t="s">
        <v>160</v>
      </c>
      <c r="C133" s="17"/>
      <c r="D133" s="6"/>
    </row>
    <row r="134" spans="1:4" x14ac:dyDescent="0.2">
      <c r="A134" s="6" t="s">
        <v>161</v>
      </c>
      <c r="B134" s="6" t="s">
        <v>162</v>
      </c>
      <c r="C134" s="17"/>
      <c r="D134" s="6"/>
    </row>
    <row r="135" spans="1:4" x14ac:dyDescent="0.2">
      <c r="A135" s="116" t="s">
        <v>163</v>
      </c>
      <c r="B135" s="116" t="s">
        <v>165</v>
      </c>
      <c r="C135" s="114">
        <v>6.4999999999999997E-3</v>
      </c>
      <c r="D135" s="377">
        <f>ROUND(C135*$D$132,2)</f>
        <v>0</v>
      </c>
    </row>
    <row r="136" spans="1:4" x14ac:dyDescent="0.2">
      <c r="A136" s="116" t="s">
        <v>164</v>
      </c>
      <c r="B136" s="116" t="s">
        <v>166</v>
      </c>
      <c r="C136" s="114">
        <v>0.03</v>
      </c>
      <c r="D136" s="377">
        <f>ROUND(C136*$D$132,2)</f>
        <v>0</v>
      </c>
    </row>
    <row r="137" spans="1:4" x14ac:dyDescent="0.2">
      <c r="A137" s="6" t="s">
        <v>167</v>
      </c>
      <c r="B137" s="6" t="s">
        <v>168</v>
      </c>
      <c r="C137" s="17"/>
      <c r="D137" s="18"/>
    </row>
    <row r="138" spans="1:4" x14ac:dyDescent="0.2">
      <c r="A138" s="6" t="s">
        <v>170</v>
      </c>
      <c r="B138" s="6" t="s">
        <v>169</v>
      </c>
      <c r="C138" s="17"/>
      <c r="D138" s="6"/>
    </row>
    <row r="139" spans="1:4" x14ac:dyDescent="0.2">
      <c r="A139" s="6" t="s">
        <v>171</v>
      </c>
      <c r="B139" s="6" t="s">
        <v>172</v>
      </c>
      <c r="C139" s="17"/>
      <c r="D139" s="6"/>
    </row>
    <row r="140" spans="1:4" x14ac:dyDescent="0.2">
      <c r="A140" s="116" t="s">
        <v>173</v>
      </c>
      <c r="B140" s="116" t="s">
        <v>174</v>
      </c>
      <c r="C140" s="114">
        <v>0.05</v>
      </c>
      <c r="D140" s="377">
        <f>ROUND(C140*$D$132,2)</f>
        <v>0</v>
      </c>
    </row>
    <row r="141" spans="1:4" x14ac:dyDescent="0.2">
      <c r="A141" s="6" t="s">
        <v>175</v>
      </c>
      <c r="B141" s="6" t="s">
        <v>176</v>
      </c>
      <c r="C141" s="17"/>
      <c r="D141" s="6"/>
    </row>
    <row r="142" spans="1:4" x14ac:dyDescent="0.2">
      <c r="A142" s="463" t="s">
        <v>29</v>
      </c>
      <c r="B142" s="464"/>
      <c r="C142" s="80">
        <f>+C141+C140+C138+C136+C135+C130+C129</f>
        <v>0.14650000000000002</v>
      </c>
      <c r="D142" s="9">
        <f>+D140+D138+D136+D135+D130+D129</f>
        <v>0</v>
      </c>
    </row>
    <row r="144" spans="1:4" x14ac:dyDescent="0.2">
      <c r="A144" s="501" t="s">
        <v>183</v>
      </c>
      <c r="B144" s="501"/>
      <c r="C144" s="501"/>
      <c r="D144" s="501"/>
    </row>
    <row r="145" spans="1:4" x14ac:dyDescent="0.2">
      <c r="A145" s="6" t="s">
        <v>3</v>
      </c>
      <c r="B145" s="456" t="s">
        <v>185</v>
      </c>
      <c r="C145" s="456"/>
      <c r="D145" s="8">
        <f>+D23</f>
        <v>0</v>
      </c>
    </row>
    <row r="146" spans="1:4" x14ac:dyDescent="0.2">
      <c r="A146" s="6" t="s">
        <v>184</v>
      </c>
      <c r="B146" s="456" t="s">
        <v>186</v>
      </c>
      <c r="C146" s="456"/>
      <c r="D146" s="8">
        <f>+D68</f>
        <v>0</v>
      </c>
    </row>
    <row r="147" spans="1:4" x14ac:dyDescent="0.2">
      <c r="A147" s="6" t="s">
        <v>5</v>
      </c>
      <c r="B147" s="456" t="s">
        <v>187</v>
      </c>
      <c r="C147" s="456"/>
      <c r="D147" s="8">
        <f>+D79</f>
        <v>0</v>
      </c>
    </row>
    <row r="148" spans="1:4" x14ac:dyDescent="0.2">
      <c r="A148" s="6" t="s">
        <v>6</v>
      </c>
      <c r="B148" s="456" t="s">
        <v>188</v>
      </c>
      <c r="C148" s="456"/>
      <c r="D148" s="8">
        <f>+D111</f>
        <v>0</v>
      </c>
    </row>
    <row r="149" spans="1:4" x14ac:dyDescent="0.2">
      <c r="A149" s="6" t="s">
        <v>25</v>
      </c>
      <c r="B149" s="456" t="s">
        <v>189</v>
      </c>
      <c r="C149" s="456"/>
      <c r="D149" s="8">
        <f>+D124</f>
        <v>0</v>
      </c>
    </row>
    <row r="150" spans="1:4" x14ac:dyDescent="0.2">
      <c r="B150" s="457" t="s">
        <v>192</v>
      </c>
      <c r="C150" s="457"/>
      <c r="D150" s="72">
        <f>SUM(D145:D149)</f>
        <v>0</v>
      </c>
    </row>
    <row r="151" spans="1:4" x14ac:dyDescent="0.2">
      <c r="A151" s="6" t="s">
        <v>26</v>
      </c>
      <c r="B151" s="456" t="s">
        <v>190</v>
      </c>
      <c r="C151" s="456"/>
      <c r="D151" s="8">
        <f>+D142</f>
        <v>0</v>
      </c>
    </row>
    <row r="153" spans="1:4" x14ac:dyDescent="0.2">
      <c r="A153" s="524" t="s">
        <v>191</v>
      </c>
      <c r="B153" s="524"/>
      <c r="C153" s="524"/>
      <c r="D153" s="82">
        <f>ROUND(+D151+D150,2)</f>
        <v>0</v>
      </c>
    </row>
    <row r="155" spans="1:4" x14ac:dyDescent="0.2">
      <c r="A155" s="459" t="s">
        <v>77</v>
      </c>
      <c r="B155" s="459"/>
      <c r="C155" s="459"/>
      <c r="D155" s="459"/>
    </row>
    <row r="157" spans="1:4" x14ac:dyDescent="0.2">
      <c r="A157" s="6" t="s">
        <v>3</v>
      </c>
      <c r="B157" s="6" t="s">
        <v>46</v>
      </c>
      <c r="C157" s="44" t="e">
        <f>+C29</f>
        <v>#DIV/0!</v>
      </c>
      <c r="D157" s="8">
        <f>+D29</f>
        <v>0</v>
      </c>
    </row>
    <row r="158" spans="1:4" x14ac:dyDescent="0.2">
      <c r="A158" s="6" t="s">
        <v>4</v>
      </c>
      <c r="B158" s="6" t="s">
        <v>45</v>
      </c>
      <c r="C158" s="44" t="e">
        <f>+C31</f>
        <v>#DIV/0!</v>
      </c>
      <c r="D158" s="8">
        <f>+D31</f>
        <v>0</v>
      </c>
    </row>
    <row r="159" spans="1:4" x14ac:dyDescent="0.2">
      <c r="A159" s="6" t="s">
        <v>5</v>
      </c>
      <c r="B159" s="6" t="s">
        <v>44</v>
      </c>
      <c r="C159" s="44" t="e">
        <f>+C32</f>
        <v>#DIV/0!</v>
      </c>
      <c r="D159" s="8">
        <f>+D32</f>
        <v>0</v>
      </c>
    </row>
    <row r="160" spans="1:4" ht="25.5" x14ac:dyDescent="0.2">
      <c r="A160" s="6" t="s">
        <v>6</v>
      </c>
      <c r="B160" s="30" t="s">
        <v>75</v>
      </c>
      <c r="C160" s="17" t="e">
        <f>+C75</f>
        <v>#DIV/0!</v>
      </c>
      <c r="D160" s="8">
        <f>+D75</f>
        <v>0</v>
      </c>
    </row>
    <row r="161" spans="1:5" ht="25.5" x14ac:dyDescent="0.2">
      <c r="A161" s="6" t="s">
        <v>25</v>
      </c>
      <c r="B161" s="30" t="s">
        <v>76</v>
      </c>
      <c r="C161" s="44" t="e">
        <f>+C78</f>
        <v>#DIV/0!</v>
      </c>
      <c r="D161" s="18">
        <f>+D78</f>
        <v>0</v>
      </c>
    </row>
    <row r="162" spans="1:5" x14ac:dyDescent="0.2">
      <c r="A162" s="6" t="s">
        <v>81</v>
      </c>
      <c r="B162" s="34" t="s">
        <v>79</v>
      </c>
      <c r="C162" s="458" t="e">
        <f>+(D162+D163+D164)/D23</f>
        <v>#DIV/0!</v>
      </c>
      <c r="D162" s="8">
        <f>ROUND(D29*(SUM($C$37:$C$44)),2)</f>
        <v>0</v>
      </c>
    </row>
    <row r="163" spans="1:5" x14ac:dyDescent="0.2">
      <c r="A163" s="6" t="s">
        <v>82</v>
      </c>
      <c r="B163" s="34" t="s">
        <v>78</v>
      </c>
      <c r="C163" s="458"/>
      <c r="D163" s="8">
        <f>ROUND(D31*(SUM($C$37:$C$44)),2)</f>
        <v>0</v>
      </c>
    </row>
    <row r="164" spans="1:5" x14ac:dyDescent="0.2">
      <c r="A164" s="6" t="s">
        <v>83</v>
      </c>
      <c r="B164" s="34" t="s">
        <v>80</v>
      </c>
      <c r="C164" s="458"/>
      <c r="D164" s="8">
        <f>ROUND(D32*(SUM($C$37:$C$44)),2)</f>
        <v>0</v>
      </c>
    </row>
    <row r="165" spans="1:5" x14ac:dyDescent="0.2">
      <c r="A165" s="460" t="s">
        <v>29</v>
      </c>
      <c r="B165" s="461"/>
      <c r="C165" s="462"/>
      <c r="D165" s="45">
        <f>SUM(D157:D164)</f>
        <v>0</v>
      </c>
    </row>
    <row r="166" spans="1:5" x14ac:dyDescent="0.2">
      <c r="B166" s="96"/>
      <c r="C166" s="96"/>
      <c r="D166" s="96"/>
    </row>
    <row r="167" spans="1:5" s="67" customFormat="1" ht="44.25" customHeight="1" x14ac:dyDescent="0.2">
      <c r="A167" s="452" t="s">
        <v>289</v>
      </c>
      <c r="B167" s="452"/>
      <c r="C167" s="452"/>
      <c r="D167" s="452"/>
      <c r="E167" s="128"/>
    </row>
    <row r="168" spans="1:5" x14ac:dyDescent="0.2">
      <c r="A168" s="97"/>
      <c r="B168" s="97"/>
      <c r="C168" s="97"/>
      <c r="D168" s="97"/>
      <c r="E168" s="97"/>
    </row>
    <row r="169" spans="1:5" ht="42" customHeight="1" x14ac:dyDescent="0.2">
      <c r="A169" s="453" t="s">
        <v>290</v>
      </c>
      <c r="B169" s="453"/>
      <c r="C169" s="453"/>
      <c r="D169" s="453"/>
      <c r="E169" s="97"/>
    </row>
    <row r="170" spans="1:5" x14ac:dyDescent="0.2">
      <c r="A170" s="97"/>
      <c r="B170" s="97"/>
      <c r="C170" s="97"/>
      <c r="D170" s="97"/>
      <c r="E170" s="97"/>
    </row>
    <row r="171" spans="1:5" x14ac:dyDescent="0.2">
      <c r="A171" s="97"/>
      <c r="B171" s="97"/>
      <c r="C171" s="97"/>
      <c r="D171" s="97"/>
      <c r="E171" s="97"/>
    </row>
    <row r="172" spans="1:5" x14ac:dyDescent="0.2">
      <c r="A172" s="97"/>
      <c r="B172" s="97"/>
      <c r="C172" s="97"/>
      <c r="D172" s="97"/>
      <c r="E172" s="97"/>
    </row>
    <row r="173" spans="1:5" x14ac:dyDescent="0.2">
      <c r="A173" s="97"/>
      <c r="B173" s="97"/>
      <c r="C173" s="97"/>
      <c r="D173" s="97"/>
      <c r="E173" s="97"/>
    </row>
    <row r="174" spans="1:5" x14ac:dyDescent="0.2">
      <c r="A174" s="97"/>
      <c r="B174" s="97"/>
      <c r="C174" s="97"/>
      <c r="D174" s="97"/>
      <c r="E174" s="97"/>
    </row>
    <row r="175" spans="1:5" x14ac:dyDescent="0.2">
      <c r="A175" s="97"/>
      <c r="B175" s="97"/>
      <c r="C175" s="97"/>
      <c r="D175" s="97"/>
      <c r="E175" s="97"/>
    </row>
    <row r="176" spans="1:5" x14ac:dyDescent="0.2">
      <c r="A176" s="97"/>
      <c r="B176" s="97"/>
      <c r="C176" s="97"/>
      <c r="D176" s="97"/>
      <c r="E176" s="97"/>
    </row>
    <row r="177" spans="1:5" x14ac:dyDescent="0.2">
      <c r="A177" s="97"/>
      <c r="B177" s="97"/>
      <c r="C177" s="97"/>
      <c r="D177" s="97"/>
      <c r="E177" s="97"/>
    </row>
    <row r="178" spans="1:5" x14ac:dyDescent="0.2">
      <c r="A178" s="97"/>
      <c r="B178" s="97"/>
      <c r="C178" s="97"/>
      <c r="D178" s="97"/>
      <c r="E178" s="97"/>
    </row>
    <row r="179" spans="1:5" x14ac:dyDescent="0.2">
      <c r="A179" s="97"/>
      <c r="B179" s="97"/>
      <c r="C179" s="97"/>
      <c r="D179" s="97"/>
      <c r="E179" s="97"/>
    </row>
    <row r="180" spans="1:5" x14ac:dyDescent="0.2">
      <c r="A180" s="97"/>
      <c r="B180" s="97"/>
      <c r="C180" s="97"/>
      <c r="D180" s="97"/>
      <c r="E180" s="97"/>
    </row>
    <row r="181" spans="1:5" x14ac:dyDescent="0.2">
      <c r="A181" s="97"/>
      <c r="B181" s="97"/>
      <c r="C181" s="97"/>
      <c r="D181" s="97"/>
      <c r="E181" s="97"/>
    </row>
    <row r="182" spans="1:5" x14ac:dyDescent="0.2">
      <c r="A182" s="97"/>
      <c r="B182" s="97"/>
      <c r="C182" s="97"/>
      <c r="D182" s="97"/>
      <c r="E182" s="97"/>
    </row>
    <row r="183" spans="1:5" x14ac:dyDescent="0.2">
      <c r="A183" s="97"/>
      <c r="B183" s="97"/>
      <c r="C183" s="97"/>
      <c r="D183" s="97"/>
      <c r="E183" s="97"/>
    </row>
  </sheetData>
  <mergeCells count="83">
    <mergeCell ref="B17:C17"/>
    <mergeCell ref="A1:D1"/>
    <mergeCell ref="A3:D3"/>
    <mergeCell ref="C4:D4"/>
    <mergeCell ref="C5:D5"/>
    <mergeCell ref="C6:D6"/>
    <mergeCell ref="C7:D7"/>
    <mergeCell ref="C8:D8"/>
    <mergeCell ref="A10:D10"/>
    <mergeCell ref="B12:C12"/>
    <mergeCell ref="B15:C15"/>
    <mergeCell ref="B16:C16"/>
    <mergeCell ref="A61:B61"/>
    <mergeCell ref="B18:C18"/>
    <mergeCell ref="B19:C19"/>
    <mergeCell ref="B21:C21"/>
    <mergeCell ref="B22:C22"/>
    <mergeCell ref="A23:C23"/>
    <mergeCell ref="A25:D25"/>
    <mergeCell ref="A27:D27"/>
    <mergeCell ref="A33:C33"/>
    <mergeCell ref="A35:D35"/>
    <mergeCell ref="A47:D47"/>
    <mergeCell ref="B59:C59"/>
    <mergeCell ref="B85:C85"/>
    <mergeCell ref="A63:D63"/>
    <mergeCell ref="B64:C64"/>
    <mergeCell ref="B65:C65"/>
    <mergeCell ref="B66:C66"/>
    <mergeCell ref="B67:C67"/>
    <mergeCell ref="A68:C68"/>
    <mergeCell ref="A70:D70"/>
    <mergeCell ref="A79:C79"/>
    <mergeCell ref="A81:D81"/>
    <mergeCell ref="A83:D83"/>
    <mergeCell ref="B84:C84"/>
    <mergeCell ref="B98:C98"/>
    <mergeCell ref="B86:C86"/>
    <mergeCell ref="B87:C87"/>
    <mergeCell ref="B88:C88"/>
    <mergeCell ref="B89:C89"/>
    <mergeCell ref="B90:C90"/>
    <mergeCell ref="B91:C91"/>
    <mergeCell ref="B92:C92"/>
    <mergeCell ref="A93:C93"/>
    <mergeCell ref="B95:C95"/>
    <mergeCell ref="B96:C96"/>
    <mergeCell ref="B97:C97"/>
    <mergeCell ref="B115:C115"/>
    <mergeCell ref="B99:C99"/>
    <mergeCell ref="A100:C100"/>
    <mergeCell ref="B102:C102"/>
    <mergeCell ref="B103:C103"/>
    <mergeCell ref="A104:C104"/>
    <mergeCell ref="B107:C107"/>
    <mergeCell ref="B108:C108"/>
    <mergeCell ref="B109:C109"/>
    <mergeCell ref="B110:C110"/>
    <mergeCell ref="A111:C111"/>
    <mergeCell ref="A113:D113"/>
    <mergeCell ref="B146:C146"/>
    <mergeCell ref="B116:C116"/>
    <mergeCell ref="B118:C118"/>
    <mergeCell ref="B120:C120"/>
    <mergeCell ref="B122:C122"/>
    <mergeCell ref="A124:C124"/>
    <mergeCell ref="A126:D126"/>
    <mergeCell ref="A131:C131"/>
    <mergeCell ref="A132:C132"/>
    <mergeCell ref="A142:B142"/>
    <mergeCell ref="A144:D144"/>
    <mergeCell ref="B145:C145"/>
    <mergeCell ref="B147:C147"/>
    <mergeCell ref="B148:C148"/>
    <mergeCell ref="B149:C149"/>
    <mergeCell ref="B150:C150"/>
    <mergeCell ref="B151:C151"/>
    <mergeCell ref="A169:D169"/>
    <mergeCell ref="A153:C153"/>
    <mergeCell ref="A155:D155"/>
    <mergeCell ref="C162:C164"/>
    <mergeCell ref="A165:C165"/>
    <mergeCell ref="A167:D167"/>
  </mergeCells>
  <pageMargins left="1.0629921259842521" right="0.11811023622047245" top="0.4" bottom="0.56999999999999995" header="0.31496062992125984" footer="0.31496062992125984"/>
  <pageSetup paperSize="9" scale="90" orientation="portrait" r:id="rId1"/>
  <headerFooter>
    <oddFooter>&amp;A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theme="8" tint="-0.249977111117893"/>
  </sheetPr>
  <dimension ref="A1:D230"/>
  <sheetViews>
    <sheetView workbookViewId="0">
      <selection activeCell="A36" sqref="A36"/>
    </sheetView>
  </sheetViews>
  <sheetFormatPr defaultRowHeight="12.75" x14ac:dyDescent="0.2"/>
  <cols>
    <col min="1" max="1" width="64.5" customWidth="1"/>
    <col min="2" max="2" width="12.25" bestFit="1" customWidth="1"/>
    <col min="3" max="3" width="11.875" bestFit="1" customWidth="1"/>
    <col min="4" max="4" width="9.375" bestFit="1" customWidth="1"/>
    <col min="5" max="5" width="69.125" customWidth="1"/>
  </cols>
  <sheetData>
    <row r="1" spans="1:3" ht="16.5" x14ac:dyDescent="0.25">
      <c r="A1" s="533" t="s">
        <v>332</v>
      </c>
      <c r="B1" s="533"/>
      <c r="C1" s="533"/>
    </row>
    <row r="3" spans="1:3" x14ac:dyDescent="0.2">
      <c r="A3" s="6" t="s">
        <v>102</v>
      </c>
      <c r="B3" s="6">
        <v>220</v>
      </c>
    </row>
    <row r="4" spans="1:3" x14ac:dyDescent="0.2">
      <c r="A4" s="6" t="s">
        <v>228</v>
      </c>
      <c r="B4" s="6">
        <v>365.25</v>
      </c>
    </row>
    <row r="5" spans="1:3" x14ac:dyDescent="0.2">
      <c r="A5" s="6" t="s">
        <v>230</v>
      </c>
      <c r="B5" s="51">
        <f>(365.25/12/2)/(7/7)</f>
        <v>15.21875</v>
      </c>
    </row>
    <row r="6" spans="1:3" x14ac:dyDescent="0.2">
      <c r="A6" s="34" t="s">
        <v>30</v>
      </c>
      <c r="B6" s="18">
        <f>+'Vigilante 12X36 Diurno Des'!D12</f>
        <v>0</v>
      </c>
    </row>
    <row r="7" spans="1:3" x14ac:dyDescent="0.2">
      <c r="A7" s="34" t="s">
        <v>241</v>
      </c>
      <c r="B7" s="18">
        <f>+'Vigilante 12X36 Diurno Des'!D23</f>
        <v>0</v>
      </c>
    </row>
    <row r="9" spans="1:3" x14ac:dyDescent="0.2">
      <c r="A9" s="503" t="s">
        <v>209</v>
      </c>
      <c r="B9" s="503"/>
      <c r="C9" s="503"/>
    </row>
    <row r="10" spans="1:3" x14ac:dyDescent="0.2">
      <c r="A10" s="6" t="s">
        <v>30</v>
      </c>
      <c r="B10" s="52"/>
      <c r="C10" s="90">
        <f>+'Vigilante 12X36 Diurno Des'!D12</f>
        <v>0</v>
      </c>
    </row>
    <row r="11" spans="1:3" x14ac:dyDescent="0.2">
      <c r="A11" s="6" t="s">
        <v>31</v>
      </c>
      <c r="B11" s="52"/>
      <c r="C11" s="90">
        <f>+'Vigilante 12X36 Diurno Des'!D13</f>
        <v>0</v>
      </c>
    </row>
    <row r="12" spans="1:3" x14ac:dyDescent="0.2">
      <c r="A12" s="6" t="s">
        <v>32</v>
      </c>
      <c r="B12" s="52"/>
      <c r="C12" s="90">
        <f>+'Vigilante 12X36 Diurno Des'!D14</f>
        <v>0</v>
      </c>
    </row>
    <row r="13" spans="1:3" x14ac:dyDescent="0.2">
      <c r="A13" s="6" t="s">
        <v>33</v>
      </c>
      <c r="B13" s="52"/>
      <c r="C13" s="90">
        <f>+'Vigilante 12X36 Diurno Des'!D15</f>
        <v>0</v>
      </c>
    </row>
    <row r="14" spans="1:3" x14ac:dyDescent="0.2">
      <c r="A14" s="6" t="s">
        <v>34</v>
      </c>
      <c r="B14" s="52"/>
      <c r="C14" s="90">
        <f>+'Vigilante 12X36 Diurno Des'!D16</f>
        <v>0</v>
      </c>
    </row>
    <row r="15" spans="1:3" x14ac:dyDescent="0.2">
      <c r="A15" t="s">
        <v>65</v>
      </c>
      <c r="B15" s="52"/>
      <c r="C15" s="90">
        <f>+'Vigilante 12X36 Diurno Des'!D20</f>
        <v>0</v>
      </c>
    </row>
    <row r="16" spans="1:3" x14ac:dyDescent="0.2">
      <c r="A16" s="35" t="s">
        <v>193</v>
      </c>
      <c r="B16" s="101"/>
      <c r="C16" s="102">
        <f>SUM(C10:C15)</f>
        <v>0</v>
      </c>
    </row>
    <row r="17" spans="1:3" x14ac:dyDescent="0.2">
      <c r="A17" s="6" t="s">
        <v>102</v>
      </c>
      <c r="B17" s="57">
        <f>+B3</f>
        <v>220</v>
      </c>
      <c r="C17" s="54"/>
    </row>
    <row r="18" spans="1:3" x14ac:dyDescent="0.2">
      <c r="A18" s="35" t="s">
        <v>103</v>
      </c>
      <c r="B18" s="101"/>
      <c r="C18" s="36">
        <f>+C16/B17</f>
        <v>0</v>
      </c>
    </row>
    <row r="19" spans="1:3" x14ac:dyDescent="0.2">
      <c r="A19" s="6" t="s">
        <v>197</v>
      </c>
      <c r="B19" s="6">
        <v>16</v>
      </c>
      <c r="C19" s="54"/>
    </row>
    <row r="20" spans="1:3" x14ac:dyDescent="0.2">
      <c r="A20" s="6" t="s">
        <v>198</v>
      </c>
      <c r="B20" s="6">
        <v>12</v>
      </c>
      <c r="C20" s="54"/>
    </row>
    <row r="21" spans="1:3" x14ac:dyDescent="0.2">
      <c r="A21" s="6" t="s">
        <v>199</v>
      </c>
      <c r="B21" s="6">
        <f>+B20*B19</f>
        <v>192</v>
      </c>
      <c r="C21" s="8">
        <f>+B21*C18</f>
        <v>0</v>
      </c>
    </row>
    <row r="22" spans="1:3" x14ac:dyDescent="0.2">
      <c r="A22" s="6" t="s">
        <v>200</v>
      </c>
      <c r="B22" s="17">
        <v>0.5</v>
      </c>
      <c r="C22" s="8">
        <f>+B22*C21</f>
        <v>0</v>
      </c>
    </row>
    <row r="23" spans="1:3" x14ac:dyDescent="0.2">
      <c r="A23" s="6" t="s">
        <v>201</v>
      </c>
      <c r="B23" s="17">
        <v>1</v>
      </c>
      <c r="C23" s="8">
        <f>+B23*C22</f>
        <v>0</v>
      </c>
    </row>
    <row r="24" spans="1:3" x14ac:dyDescent="0.2">
      <c r="A24" s="6" t="s">
        <v>202</v>
      </c>
      <c r="B24" s="6">
        <v>12</v>
      </c>
      <c r="C24" s="91"/>
    </row>
    <row r="25" spans="1:3" x14ac:dyDescent="0.2">
      <c r="A25" s="504" t="s">
        <v>203</v>
      </c>
      <c r="B25" s="505"/>
      <c r="C25" s="45">
        <f>+C23/B24</f>
        <v>0</v>
      </c>
    </row>
    <row r="26" spans="1:3" x14ac:dyDescent="0.2">
      <c r="C26" s="15"/>
    </row>
    <row r="27" spans="1:3" x14ac:dyDescent="0.2">
      <c r="A27" s="503" t="s">
        <v>210</v>
      </c>
      <c r="B27" s="503"/>
      <c r="C27" s="503"/>
    </row>
    <row r="28" spans="1:3" x14ac:dyDescent="0.2">
      <c r="A28" s="6" t="s">
        <v>103</v>
      </c>
      <c r="B28" s="52"/>
      <c r="C28" s="90">
        <f>+C18</f>
        <v>0</v>
      </c>
    </row>
    <row r="29" spans="1:3" x14ac:dyDescent="0.2">
      <c r="A29" s="6" t="s">
        <v>199</v>
      </c>
      <c r="B29" s="6">
        <v>192</v>
      </c>
      <c r="C29" s="54"/>
    </row>
    <row r="30" spans="1:3" x14ac:dyDescent="0.2">
      <c r="A30" s="6" t="s">
        <v>204</v>
      </c>
      <c r="B30" s="6">
        <f>+$B$4</f>
        <v>365.25</v>
      </c>
      <c r="C30" s="54"/>
    </row>
    <row r="31" spans="1:3" x14ac:dyDescent="0.2">
      <c r="A31" s="6" t="s">
        <v>197</v>
      </c>
      <c r="B31" s="6">
        <v>16</v>
      </c>
      <c r="C31" s="54"/>
    </row>
    <row r="32" spans="1:3" x14ac:dyDescent="0.2">
      <c r="A32" s="6" t="s">
        <v>200</v>
      </c>
      <c r="B32" s="17">
        <v>0.5</v>
      </c>
      <c r="C32" s="54"/>
    </row>
    <row r="33" spans="1:3" x14ac:dyDescent="0.2">
      <c r="A33" s="6" t="s">
        <v>205</v>
      </c>
      <c r="B33" s="92">
        <f>ROUND(((B30/7)*6)-B31,2)</f>
        <v>297.07</v>
      </c>
      <c r="C33" s="54"/>
    </row>
    <row r="34" spans="1:3" x14ac:dyDescent="0.2">
      <c r="A34" s="6" t="s">
        <v>206</v>
      </c>
      <c r="B34" s="34">
        <v>12</v>
      </c>
      <c r="C34" s="54"/>
    </row>
    <row r="35" spans="1:3" ht="25.5" x14ac:dyDescent="0.2">
      <c r="A35" s="30" t="s">
        <v>207</v>
      </c>
      <c r="B35" s="6">
        <f>+((B29/B34)*B32)/B33</f>
        <v>2.6929679873430507E-2</v>
      </c>
      <c r="C35" s="54"/>
    </row>
    <row r="36" spans="1:3" x14ac:dyDescent="0.2">
      <c r="A36" s="24" t="s">
        <v>208</v>
      </c>
      <c r="B36" s="24"/>
      <c r="C36" s="45">
        <f>+C28*(B30-B33)*B35</f>
        <v>0</v>
      </c>
    </row>
    <row r="37" spans="1:3" x14ac:dyDescent="0.2">
      <c r="C37" s="15"/>
    </row>
    <row r="38" spans="1:3" x14ac:dyDescent="0.2">
      <c r="A38" s="459" t="s">
        <v>107</v>
      </c>
      <c r="B38" s="459"/>
      <c r="C38" s="459"/>
    </row>
    <row r="39" spans="1:3" x14ac:dyDescent="0.2">
      <c r="A39" s="55" t="s">
        <v>30</v>
      </c>
      <c r="B39" s="86"/>
      <c r="C39" s="56">
        <f>+'Vigilante 12X36 Diurno Des'!D12</f>
        <v>0</v>
      </c>
    </row>
    <row r="40" spans="1:3" x14ac:dyDescent="0.2">
      <c r="A40" s="55" t="s">
        <v>31</v>
      </c>
      <c r="B40" s="58"/>
      <c r="C40" s="56">
        <f>+'Vigilante 12X36 Diurno Des'!D13</f>
        <v>0</v>
      </c>
    </row>
    <row r="41" spans="1:3" x14ac:dyDescent="0.2">
      <c r="A41" s="55" t="s">
        <v>32</v>
      </c>
      <c r="B41" s="58"/>
      <c r="C41" s="56">
        <f>+'Vigilante 12X36 Diurno Des'!D14</f>
        <v>0</v>
      </c>
    </row>
    <row r="42" spans="1:3" x14ac:dyDescent="0.2">
      <c r="A42" s="55" t="s">
        <v>33</v>
      </c>
      <c r="B42" s="58"/>
      <c r="C42" s="56">
        <f>+'Vigilante 12X36 Diurno Des'!D15</f>
        <v>0</v>
      </c>
    </row>
    <row r="43" spans="1:3" x14ac:dyDescent="0.2">
      <c r="A43" s="55" t="s">
        <v>34</v>
      </c>
      <c r="B43" s="58"/>
      <c r="C43" s="56">
        <f>+'Vigilante 12X36 Diurno Des'!D16</f>
        <v>0</v>
      </c>
    </row>
    <row r="44" spans="1:3" x14ac:dyDescent="0.2">
      <c r="A44" s="55" t="s">
        <v>35</v>
      </c>
      <c r="B44" s="58"/>
      <c r="C44" s="56">
        <f>+'Vigilante 12X36 Diurno Des'!D18</f>
        <v>0</v>
      </c>
    </row>
    <row r="45" spans="1:3" x14ac:dyDescent="0.2">
      <c r="A45" s="55" t="s">
        <v>65</v>
      </c>
      <c r="B45" s="58"/>
      <c r="C45" s="56">
        <f>+'Vigilante 12X36 Diurno Des'!D20</f>
        <v>0</v>
      </c>
    </row>
    <row r="46" spans="1:3" x14ac:dyDescent="0.2">
      <c r="A46" s="35" t="s">
        <v>101</v>
      </c>
      <c r="B46" s="99"/>
      <c r="C46" s="100">
        <f>SUM(C39:C45)</f>
        <v>0</v>
      </c>
    </row>
    <row r="47" spans="1:3" x14ac:dyDescent="0.2">
      <c r="A47" s="6" t="s">
        <v>102</v>
      </c>
      <c r="B47" s="57">
        <f>+B3</f>
        <v>220</v>
      </c>
      <c r="C47" s="58"/>
    </row>
    <row r="48" spans="1:3" x14ac:dyDescent="0.2">
      <c r="A48" s="6" t="s">
        <v>103</v>
      </c>
      <c r="B48" s="58"/>
      <c r="C48" s="59">
        <f>ROUND(+C46/B47,2)</f>
        <v>0</v>
      </c>
    </row>
    <row r="49" spans="1:3" x14ac:dyDescent="0.2">
      <c r="A49" s="6" t="s">
        <v>229</v>
      </c>
      <c r="B49" s="51">
        <f>(365.25/12/2)/(7/7)</f>
        <v>15.21875</v>
      </c>
      <c r="C49" s="58"/>
    </row>
    <row r="50" spans="1:3" x14ac:dyDescent="0.2">
      <c r="A50" s="6" t="s">
        <v>105</v>
      </c>
      <c r="B50" s="17">
        <v>0.5</v>
      </c>
      <c r="C50" s="6"/>
    </row>
    <row r="51" spans="1:3" x14ac:dyDescent="0.2">
      <c r="A51" s="504" t="s">
        <v>106</v>
      </c>
      <c r="B51" s="505"/>
      <c r="C51" s="45">
        <f>ROUND((B49*C48)*(1+B50),2)</f>
        <v>0</v>
      </c>
    </row>
    <row r="53" spans="1:3" x14ac:dyDescent="0.2">
      <c r="A53" s="459" t="s">
        <v>212</v>
      </c>
      <c r="B53" s="459"/>
      <c r="C53" s="459"/>
    </row>
    <row r="54" spans="1:3" x14ac:dyDescent="0.2">
      <c r="A54" s="6" t="s">
        <v>204</v>
      </c>
      <c r="B54" s="6">
        <v>365.25</v>
      </c>
      <c r="C54" s="52"/>
    </row>
    <row r="55" spans="1:3" x14ac:dyDescent="0.2">
      <c r="A55" s="6" t="s">
        <v>206</v>
      </c>
      <c r="B55" s="34">
        <v>12</v>
      </c>
      <c r="C55" s="52"/>
    </row>
    <row r="56" spans="1:3" x14ac:dyDescent="0.2">
      <c r="A56" s="6" t="s">
        <v>213</v>
      </c>
      <c r="B56" s="17">
        <v>0.5</v>
      </c>
      <c r="C56" s="52"/>
    </row>
    <row r="57" spans="1:3" x14ac:dyDescent="0.2">
      <c r="A57" s="103" t="s">
        <v>448</v>
      </c>
      <c r="B57" s="34">
        <v>7</v>
      </c>
      <c r="C57" s="52"/>
    </row>
    <row r="58" spans="1:3" x14ac:dyDescent="0.2">
      <c r="A58" s="34" t="s">
        <v>214</v>
      </c>
      <c r="B58" s="52"/>
      <c r="C58" s="18">
        <f>+'Vigilante 12X36 Diurno Des'!$D$12</f>
        <v>0</v>
      </c>
    </row>
    <row r="59" spans="1:3" x14ac:dyDescent="0.2">
      <c r="A59" s="34" t="s">
        <v>31</v>
      </c>
      <c r="B59" s="52"/>
      <c r="C59" s="18">
        <f>+'Vigilante 12X36 Diurno Des'!$D$13</f>
        <v>0</v>
      </c>
    </row>
    <row r="60" spans="1:3" x14ac:dyDescent="0.2">
      <c r="A60" s="34" t="s">
        <v>32</v>
      </c>
      <c r="B60" s="52"/>
      <c r="C60" s="18">
        <f>+'Vigilante 12X36 Diurno Des'!$D$14</f>
        <v>0</v>
      </c>
    </row>
    <row r="61" spans="1:3" x14ac:dyDescent="0.2">
      <c r="A61" s="104" t="s">
        <v>193</v>
      </c>
      <c r="B61" s="52"/>
      <c r="C61" s="105">
        <f>SUM(C58:C60)</f>
        <v>0</v>
      </c>
    </row>
    <row r="62" spans="1:3" x14ac:dyDescent="0.2">
      <c r="A62" s="6" t="s">
        <v>102</v>
      </c>
      <c r="B62" s="106">
        <f>+B3</f>
        <v>220</v>
      </c>
      <c r="C62" s="52"/>
    </row>
    <row r="63" spans="1:3" x14ac:dyDescent="0.2">
      <c r="A63" s="34" t="s">
        <v>215</v>
      </c>
      <c r="B63" s="17">
        <v>0.2</v>
      </c>
      <c r="C63" s="52"/>
    </row>
    <row r="64" spans="1:3" x14ac:dyDescent="0.2">
      <c r="A64" s="34" t="s">
        <v>216</v>
      </c>
      <c r="B64" s="52"/>
      <c r="C64" s="8">
        <f>ROUND((C61/B62)*B63,2)</f>
        <v>0</v>
      </c>
    </row>
    <row r="65" spans="1:3" x14ac:dyDescent="0.2">
      <c r="A65" s="34" t="s">
        <v>217</v>
      </c>
      <c r="B65" s="6">
        <f>ROUND(+B54/B55*B56*B57,0)</f>
        <v>107</v>
      </c>
      <c r="C65" s="53"/>
    </row>
    <row r="66" spans="1:3" x14ac:dyDescent="0.2">
      <c r="A66" s="506" t="s">
        <v>218</v>
      </c>
      <c r="B66" s="506"/>
      <c r="C66" s="32">
        <f>ROUND(+B65*C64,2)</f>
        <v>0</v>
      </c>
    </row>
    <row r="68" spans="1:3" x14ac:dyDescent="0.2">
      <c r="A68" s="503" t="s">
        <v>232</v>
      </c>
      <c r="B68" s="503"/>
      <c r="C68" s="503"/>
    </row>
    <row r="69" spans="1:3" x14ac:dyDescent="0.2">
      <c r="A69" s="6" t="s">
        <v>103</v>
      </c>
      <c r="B69" s="52"/>
      <c r="C69" s="90">
        <f>+C66</f>
        <v>0</v>
      </c>
    </row>
    <row r="70" spans="1:3" x14ac:dyDescent="0.2">
      <c r="A70" s="6" t="s">
        <v>199</v>
      </c>
      <c r="B70" s="6">
        <v>192</v>
      </c>
      <c r="C70" s="54"/>
    </row>
    <row r="71" spans="1:3" x14ac:dyDescent="0.2">
      <c r="A71" s="6" t="s">
        <v>204</v>
      </c>
      <c r="B71" s="6">
        <f>+$B$4</f>
        <v>365.25</v>
      </c>
      <c r="C71" s="54"/>
    </row>
    <row r="72" spans="1:3" x14ac:dyDescent="0.2">
      <c r="A72" s="6" t="s">
        <v>197</v>
      </c>
      <c r="B72" s="6">
        <v>16</v>
      </c>
      <c r="C72" s="54"/>
    </row>
    <row r="73" spans="1:3" x14ac:dyDescent="0.2">
      <c r="A73" s="6" t="s">
        <v>200</v>
      </c>
      <c r="B73" s="17">
        <v>0.5</v>
      </c>
      <c r="C73" s="54"/>
    </row>
    <row r="74" spans="1:3" x14ac:dyDescent="0.2">
      <c r="A74" s="6" t="s">
        <v>205</v>
      </c>
      <c r="B74" s="92">
        <f>ROUND(((B71/7)*6)-B72,2)</f>
        <v>297.07</v>
      </c>
      <c r="C74" s="54"/>
    </row>
    <row r="75" spans="1:3" x14ac:dyDescent="0.2">
      <c r="A75" s="6" t="s">
        <v>206</v>
      </c>
      <c r="B75" s="34">
        <v>12</v>
      </c>
      <c r="C75" s="54"/>
    </row>
    <row r="76" spans="1:3" ht="25.5" x14ac:dyDescent="0.2">
      <c r="A76" s="30" t="s">
        <v>207</v>
      </c>
      <c r="B76" s="6">
        <f>+((B70/B75)*B73)/B74</f>
        <v>2.6929679873430507E-2</v>
      </c>
      <c r="C76" s="54"/>
    </row>
    <row r="77" spans="1:3" x14ac:dyDescent="0.2">
      <c r="A77" s="24" t="s">
        <v>208</v>
      </c>
      <c r="B77" s="24"/>
      <c r="C77" s="45">
        <f>+C69/B70*(B71-B74)*B76</f>
        <v>0</v>
      </c>
    </row>
    <row r="79" spans="1:3" x14ac:dyDescent="0.2">
      <c r="A79" s="459" t="s">
        <v>219</v>
      </c>
      <c r="B79" s="459"/>
      <c r="C79" s="459"/>
    </row>
    <row r="80" spans="1:3" x14ac:dyDescent="0.2">
      <c r="A80" s="6" t="s">
        <v>204</v>
      </c>
      <c r="B80" s="6">
        <f>+$B$4</f>
        <v>365.25</v>
      </c>
      <c r="C80" s="52"/>
    </row>
    <row r="81" spans="1:4" x14ac:dyDescent="0.2">
      <c r="A81" s="6" t="s">
        <v>206</v>
      </c>
      <c r="B81" s="34">
        <v>12</v>
      </c>
      <c r="C81" s="52"/>
    </row>
    <row r="82" spans="1:4" x14ac:dyDescent="0.2">
      <c r="A82" s="6" t="s">
        <v>213</v>
      </c>
      <c r="B82" s="17">
        <v>0.5</v>
      </c>
      <c r="C82" s="52"/>
      <c r="D82" s="109"/>
    </row>
    <row r="83" spans="1:4" x14ac:dyDescent="0.2">
      <c r="A83" s="103" t="s">
        <v>448</v>
      </c>
      <c r="B83" s="34">
        <v>7</v>
      </c>
      <c r="C83" s="52"/>
      <c r="D83" s="109"/>
    </row>
    <row r="84" spans="1:4" x14ac:dyDescent="0.2">
      <c r="A84" s="34" t="s">
        <v>220</v>
      </c>
      <c r="B84" s="51">
        <f>(365.25/12/2)/(7/7)</f>
        <v>15.21875</v>
      </c>
      <c r="C84" s="6"/>
      <c r="D84" s="109"/>
    </row>
    <row r="85" spans="1:4" x14ac:dyDescent="0.2">
      <c r="A85" s="34" t="s">
        <v>221</v>
      </c>
      <c r="B85" s="6">
        <f>ROUND(+B84*B83,2)</f>
        <v>106.53</v>
      </c>
      <c r="C85" s="6"/>
    </row>
    <row r="86" spans="1:4" x14ac:dyDescent="0.2">
      <c r="A86" s="34" t="s">
        <v>214</v>
      </c>
      <c r="B86" s="52"/>
      <c r="C86" s="18">
        <f>+'Vigilante 12X36 Diurno Des'!$D$12</f>
        <v>0</v>
      </c>
    </row>
    <row r="87" spans="1:4" x14ac:dyDescent="0.2">
      <c r="A87" s="34" t="s">
        <v>31</v>
      </c>
      <c r="B87" s="52"/>
      <c r="C87" s="18">
        <f>+'Vigilante 12X36 Diurno Des'!$D$13</f>
        <v>0</v>
      </c>
    </row>
    <row r="88" spans="1:4" x14ac:dyDescent="0.2">
      <c r="A88" s="34" t="s">
        <v>32</v>
      </c>
      <c r="B88" s="52"/>
      <c r="C88" s="18">
        <f>+'Vigilante 12X36 Diurno Des'!$D$14</f>
        <v>0</v>
      </c>
    </row>
    <row r="89" spans="1:4" x14ac:dyDescent="0.2">
      <c r="A89" s="104" t="s">
        <v>193</v>
      </c>
      <c r="B89" s="52"/>
      <c r="C89" s="105">
        <f>SUM(C86:C88)</f>
        <v>0</v>
      </c>
      <c r="D89" s="88"/>
    </row>
    <row r="90" spans="1:4" x14ac:dyDescent="0.2">
      <c r="A90" s="6" t="s">
        <v>102</v>
      </c>
      <c r="B90" s="106">
        <f>+B3</f>
        <v>220</v>
      </c>
      <c r="C90" s="52"/>
    </row>
    <row r="91" spans="1:4" x14ac:dyDescent="0.2">
      <c r="A91" s="34" t="s">
        <v>215</v>
      </c>
      <c r="B91" s="17">
        <v>0.2</v>
      </c>
      <c r="C91" s="52"/>
    </row>
    <row r="92" spans="1:4" x14ac:dyDescent="0.2">
      <c r="A92" s="34" t="s">
        <v>216</v>
      </c>
      <c r="B92" s="52"/>
      <c r="C92" s="8">
        <f>ROUND((C89/B90)*B91,2)</f>
        <v>0</v>
      </c>
    </row>
    <row r="93" spans="1:4" x14ac:dyDescent="0.2">
      <c r="A93" s="34" t="s">
        <v>223</v>
      </c>
      <c r="B93" s="6">
        <v>60</v>
      </c>
      <c r="C93" s="52"/>
    </row>
    <row r="94" spans="1:4" x14ac:dyDescent="0.2">
      <c r="A94" s="34" t="s">
        <v>222</v>
      </c>
      <c r="B94" s="6">
        <v>52.5</v>
      </c>
      <c r="C94" s="52"/>
    </row>
    <row r="95" spans="1:4" x14ac:dyDescent="0.2">
      <c r="A95" s="34" t="s">
        <v>224</v>
      </c>
      <c r="B95" s="6">
        <f>+B93/B94</f>
        <v>1.1428571428571428</v>
      </c>
      <c r="C95" s="52"/>
    </row>
    <row r="96" spans="1:4" x14ac:dyDescent="0.2">
      <c r="A96" s="34" t="s">
        <v>225</v>
      </c>
      <c r="B96" s="6">
        <f>ROUND(+B95*B85,2)</f>
        <v>121.75</v>
      </c>
      <c r="C96" s="52"/>
    </row>
    <row r="97" spans="1:3" x14ac:dyDescent="0.2">
      <c r="A97" s="34" t="s">
        <v>226</v>
      </c>
      <c r="B97" s="6">
        <f>ROUND(B96-B85,2)</f>
        <v>15.22</v>
      </c>
      <c r="C97" s="53"/>
    </row>
    <row r="98" spans="1:3" x14ac:dyDescent="0.2">
      <c r="A98" s="494" t="s">
        <v>227</v>
      </c>
      <c r="B98" s="494"/>
      <c r="C98" s="71">
        <f>+B97*C92</f>
        <v>0</v>
      </c>
    </row>
    <row r="100" spans="1:3" x14ac:dyDescent="0.2">
      <c r="A100" s="459" t="s">
        <v>233</v>
      </c>
      <c r="B100" s="459"/>
      <c r="C100" s="459"/>
    </row>
    <row r="101" spans="1:3" x14ac:dyDescent="0.2">
      <c r="A101" s="6" t="s">
        <v>204</v>
      </c>
      <c r="B101" s="6">
        <f>+$B$4</f>
        <v>365.25</v>
      </c>
      <c r="C101" s="52"/>
    </row>
    <row r="102" spans="1:3" x14ac:dyDescent="0.2">
      <c r="A102" s="6" t="s">
        <v>206</v>
      </c>
      <c r="B102" s="34">
        <v>12</v>
      </c>
      <c r="C102" s="52"/>
    </row>
    <row r="103" spans="1:3" x14ac:dyDescent="0.2">
      <c r="A103" s="6" t="s">
        <v>213</v>
      </c>
      <c r="B103" s="17">
        <v>0.5</v>
      </c>
      <c r="C103" s="52"/>
    </row>
    <row r="104" spans="1:3" x14ac:dyDescent="0.2">
      <c r="A104" s="34" t="s">
        <v>234</v>
      </c>
      <c r="B104" s="6">
        <f>ROUND((B101/B102)*B103,2)</f>
        <v>15.22</v>
      </c>
      <c r="C104" s="52"/>
    </row>
    <row r="105" spans="1:3" x14ac:dyDescent="0.2">
      <c r="A105" s="205" t="s">
        <v>235</v>
      </c>
      <c r="B105" s="206"/>
      <c r="C105" s="52"/>
    </row>
    <row r="106" spans="1:3" x14ac:dyDescent="0.2">
      <c r="A106" s="34" t="s">
        <v>236</v>
      </c>
      <c r="B106" s="29">
        <v>0.06</v>
      </c>
      <c r="C106" s="52"/>
    </row>
    <row r="107" spans="1:3" x14ac:dyDescent="0.2">
      <c r="A107" s="504" t="s">
        <v>237</v>
      </c>
      <c r="B107" s="505"/>
      <c r="C107" s="45">
        <f>ROUND((B104*(B105*2)-($B$6*B106)),2)</f>
        <v>0</v>
      </c>
    </row>
    <row r="109" spans="1:3" x14ac:dyDescent="0.2">
      <c r="A109" s="459" t="s">
        <v>238</v>
      </c>
      <c r="B109" s="459"/>
      <c r="C109" s="459"/>
    </row>
    <row r="110" spans="1:3" x14ac:dyDescent="0.2">
      <c r="A110" s="6" t="s">
        <v>204</v>
      </c>
      <c r="B110" s="6">
        <f>+$B$4</f>
        <v>365.25</v>
      </c>
      <c r="C110" s="52"/>
    </row>
    <row r="111" spans="1:3" x14ac:dyDescent="0.2">
      <c r="A111" s="6" t="s">
        <v>206</v>
      </c>
      <c r="B111" s="34">
        <v>12</v>
      </c>
      <c r="C111" s="52"/>
    </row>
    <row r="112" spans="1:3" x14ac:dyDescent="0.2">
      <c r="A112" s="6" t="s">
        <v>213</v>
      </c>
      <c r="B112" s="17">
        <v>0.5</v>
      </c>
      <c r="C112" s="52"/>
    </row>
    <row r="113" spans="1:3" x14ac:dyDescent="0.2">
      <c r="A113" s="34" t="s">
        <v>234</v>
      </c>
      <c r="B113" s="6">
        <f>ROUND((B110/B111)*B112,2)</f>
        <v>15.22</v>
      </c>
      <c r="C113" s="52"/>
    </row>
    <row r="114" spans="1:3" x14ac:dyDescent="0.2">
      <c r="A114" s="205" t="s">
        <v>239</v>
      </c>
      <c r="B114" s="206"/>
      <c r="C114" s="52"/>
    </row>
    <row r="115" spans="1:3" x14ac:dyDescent="0.2">
      <c r="A115" s="34" t="s">
        <v>367</v>
      </c>
      <c r="B115" s="29">
        <v>0.2</v>
      </c>
      <c r="C115" s="52"/>
    </row>
    <row r="116" spans="1:3" x14ac:dyDescent="0.2">
      <c r="A116" s="504" t="s">
        <v>239</v>
      </c>
      <c r="B116" s="505"/>
      <c r="C116" s="45">
        <f>ROUND((B113*(B114)-((B113*B114)*B115)),2)</f>
        <v>0</v>
      </c>
    </row>
    <row r="118" spans="1:3" x14ac:dyDescent="0.2">
      <c r="A118" s="459" t="s">
        <v>240</v>
      </c>
      <c r="B118" s="459"/>
      <c r="C118" s="459"/>
    </row>
    <row r="119" spans="1:3" x14ac:dyDescent="0.2">
      <c r="A119" s="6" t="s">
        <v>242</v>
      </c>
      <c r="B119" s="18">
        <f>+B7</f>
        <v>0</v>
      </c>
      <c r="C119" s="52"/>
    </row>
    <row r="120" spans="1:3" x14ac:dyDescent="0.2">
      <c r="A120" s="6" t="s">
        <v>243</v>
      </c>
      <c r="B120" s="6">
        <v>12</v>
      </c>
      <c r="C120" s="52"/>
    </row>
    <row r="121" spans="1:3" x14ac:dyDescent="0.2">
      <c r="A121" s="116" t="s">
        <v>244</v>
      </c>
      <c r="B121" s="114"/>
      <c r="C121" s="52"/>
    </row>
    <row r="122" spans="1:3" x14ac:dyDescent="0.2">
      <c r="A122" s="494" t="s">
        <v>245</v>
      </c>
      <c r="B122" s="494"/>
      <c r="C122" s="45">
        <f>ROUND(+(B119/B120)*B121,2)</f>
        <v>0</v>
      </c>
    </row>
    <row r="124" spans="1:3" x14ac:dyDescent="0.2">
      <c r="A124" s="507" t="s">
        <v>246</v>
      </c>
      <c r="B124" s="508"/>
      <c r="C124" s="509"/>
    </row>
    <row r="125" spans="1:3" s="60" customFormat="1" x14ac:dyDescent="0.2">
      <c r="A125" s="117" t="s">
        <v>251</v>
      </c>
      <c r="B125" s="114">
        <f>+B121</f>
        <v>0</v>
      </c>
      <c r="C125" s="52"/>
    </row>
    <row r="126" spans="1:3" x14ac:dyDescent="0.2">
      <c r="A126" s="6" t="s">
        <v>247</v>
      </c>
      <c r="B126" s="18">
        <f>+'Vigilante 12X36 Diurno Des'!$D$23</f>
        <v>0</v>
      </c>
      <c r="C126" s="52"/>
    </row>
    <row r="127" spans="1:3" x14ac:dyDescent="0.2">
      <c r="A127" s="6" t="s">
        <v>46</v>
      </c>
      <c r="B127" s="18">
        <f>+'Vigilante 12X36 Diurno Des'!$D$29</f>
        <v>0</v>
      </c>
      <c r="C127" s="52"/>
    </row>
    <row r="128" spans="1:3" x14ac:dyDescent="0.2">
      <c r="A128" s="111" t="s">
        <v>45</v>
      </c>
      <c r="B128" s="18">
        <f>+'Vigilante 12X36 Diurno Des'!$D$31</f>
        <v>0</v>
      </c>
      <c r="C128" s="52"/>
    </row>
    <row r="129" spans="1:3" x14ac:dyDescent="0.2">
      <c r="A129" s="111" t="s">
        <v>44</v>
      </c>
      <c r="B129" s="18">
        <f>+'Vigilante 12X36 Diurno Des'!$D$32</f>
        <v>0</v>
      </c>
      <c r="C129" s="52"/>
    </row>
    <row r="130" spans="1:3" x14ac:dyDescent="0.2">
      <c r="A130" s="104" t="s">
        <v>248</v>
      </c>
      <c r="B130" s="105">
        <f>SUM(B126:B129)</f>
        <v>0</v>
      </c>
      <c r="C130" s="52"/>
    </row>
    <row r="131" spans="1:3" x14ac:dyDescent="0.2">
      <c r="A131" s="25" t="s">
        <v>249</v>
      </c>
      <c r="B131" s="17">
        <v>0.4</v>
      </c>
      <c r="C131" s="52"/>
    </row>
    <row r="132" spans="1:3" x14ac:dyDescent="0.2">
      <c r="A132" s="25" t="s">
        <v>250</v>
      </c>
      <c r="B132" s="17">
        <f>+'Vigilante 12X36 Diurno Des'!$C$44</f>
        <v>0.08</v>
      </c>
      <c r="C132" s="52"/>
    </row>
    <row r="133" spans="1:3" x14ac:dyDescent="0.2">
      <c r="A133" s="510" t="s">
        <v>252</v>
      </c>
      <c r="B133" s="510"/>
      <c r="C133" s="73">
        <f>ROUND(+B130*B131*B132*B125,2)</f>
        <v>0</v>
      </c>
    </row>
    <row r="134" spans="1:3" x14ac:dyDescent="0.2">
      <c r="A134" s="25" t="s">
        <v>253</v>
      </c>
      <c r="B134" s="17">
        <v>0.1</v>
      </c>
      <c r="C134" s="52"/>
    </row>
    <row r="135" spans="1:3" x14ac:dyDescent="0.2">
      <c r="A135" s="510" t="s">
        <v>254</v>
      </c>
      <c r="B135" s="510"/>
      <c r="C135" s="112">
        <f>ROUND(B134*B132*B130*B125,2)</f>
        <v>0</v>
      </c>
    </row>
    <row r="136" spans="1:3" x14ac:dyDescent="0.2">
      <c r="A136" s="504" t="s">
        <v>255</v>
      </c>
      <c r="B136" s="505"/>
      <c r="C136" s="71">
        <f>+C135+C133</f>
        <v>0</v>
      </c>
    </row>
    <row r="138" spans="1:3" x14ac:dyDescent="0.2">
      <c r="A138" s="459" t="s">
        <v>256</v>
      </c>
      <c r="B138" s="459"/>
      <c r="C138" s="459"/>
    </row>
    <row r="139" spans="1:3" x14ac:dyDescent="0.2">
      <c r="A139" s="6" t="s">
        <v>242</v>
      </c>
      <c r="B139" s="18">
        <f>+B7</f>
        <v>0</v>
      </c>
      <c r="C139" s="52"/>
    </row>
    <row r="140" spans="1:3" x14ac:dyDescent="0.2">
      <c r="A140" s="6" t="s">
        <v>257</v>
      </c>
      <c r="B140" s="113">
        <v>30</v>
      </c>
      <c r="C140" s="52"/>
    </row>
    <row r="141" spans="1:3" x14ac:dyDescent="0.2">
      <c r="A141" s="6" t="s">
        <v>243</v>
      </c>
      <c r="B141" s="6">
        <v>12</v>
      </c>
      <c r="C141" s="52"/>
    </row>
    <row r="142" spans="1:3" x14ac:dyDescent="0.2">
      <c r="A142" s="6" t="s">
        <v>258</v>
      </c>
      <c r="B142" s="6">
        <v>7</v>
      </c>
      <c r="C142" s="52"/>
    </row>
    <row r="143" spans="1:3" x14ac:dyDescent="0.2">
      <c r="A143" s="116" t="s">
        <v>294</v>
      </c>
      <c r="B143" s="114"/>
      <c r="C143" s="52"/>
    </row>
    <row r="144" spans="1:3" x14ac:dyDescent="0.2">
      <c r="A144" s="494" t="s">
        <v>369</v>
      </c>
      <c r="B144" s="494"/>
      <c r="C144" s="45">
        <f>+ROUND(((B139/B140/B141)*B142)*B143,2)</f>
        <v>0</v>
      </c>
    </row>
    <row r="146" spans="1:3" x14ac:dyDescent="0.2">
      <c r="A146" s="507" t="s">
        <v>259</v>
      </c>
      <c r="B146" s="508"/>
      <c r="C146" s="509"/>
    </row>
    <row r="147" spans="1:3" x14ac:dyDescent="0.2">
      <c r="A147" s="115" t="s">
        <v>260</v>
      </c>
      <c r="B147" s="114">
        <f>+B143</f>
        <v>0</v>
      </c>
      <c r="C147" s="52"/>
    </row>
    <row r="148" spans="1:3" x14ac:dyDescent="0.2">
      <c r="A148" s="6" t="s">
        <v>247</v>
      </c>
      <c r="B148" s="18">
        <f>+'Vigilante 12X36 Diurno Des'!$D$23</f>
        <v>0</v>
      </c>
      <c r="C148" s="52"/>
    </row>
    <row r="149" spans="1:3" x14ac:dyDescent="0.2">
      <c r="A149" s="6" t="s">
        <v>46</v>
      </c>
      <c r="B149" s="18">
        <f>+'Vigilante 12X36 Diurno Des'!$D$29</f>
        <v>0</v>
      </c>
      <c r="C149" s="52"/>
    </row>
    <row r="150" spans="1:3" x14ac:dyDescent="0.2">
      <c r="A150" s="111" t="s">
        <v>45</v>
      </c>
      <c r="B150" s="18">
        <f>+'Vigilante 12X36 Diurno Des'!$D$31</f>
        <v>0</v>
      </c>
      <c r="C150" s="52"/>
    </row>
    <row r="151" spans="1:3" x14ac:dyDescent="0.2">
      <c r="A151" s="111" t="s">
        <v>44</v>
      </c>
      <c r="B151" s="18">
        <f>+'Vigilante 12X36 Diurno Des'!$D$32</f>
        <v>0</v>
      </c>
      <c r="C151" s="52"/>
    </row>
    <row r="152" spans="1:3" x14ac:dyDescent="0.2">
      <c r="A152" s="104" t="s">
        <v>248</v>
      </c>
      <c r="B152" s="105">
        <f>SUM(B148:B151)</f>
        <v>0</v>
      </c>
      <c r="C152" s="52"/>
    </row>
    <row r="153" spans="1:3" x14ac:dyDescent="0.2">
      <c r="A153" s="25" t="s">
        <v>249</v>
      </c>
      <c r="B153" s="17">
        <v>0.4</v>
      </c>
      <c r="C153" s="52"/>
    </row>
    <row r="154" spans="1:3" x14ac:dyDescent="0.2">
      <c r="A154" s="25" t="s">
        <v>250</v>
      </c>
      <c r="B154" s="17">
        <f>+'Vigilante 12X36 Diurno Des'!$C$44</f>
        <v>0.08</v>
      </c>
      <c r="C154" s="52"/>
    </row>
    <row r="155" spans="1:3" x14ac:dyDescent="0.2">
      <c r="A155" s="510" t="s">
        <v>252</v>
      </c>
      <c r="B155" s="510"/>
      <c r="C155" s="73">
        <f>ROUND(+B152*B153*B154*B147,2)</f>
        <v>0</v>
      </c>
    </row>
    <row r="156" spans="1:3" x14ac:dyDescent="0.2">
      <c r="A156" s="25" t="s">
        <v>253</v>
      </c>
      <c r="B156" s="17">
        <v>0.1</v>
      </c>
      <c r="C156" s="52"/>
    </row>
    <row r="157" spans="1:3" x14ac:dyDescent="0.2">
      <c r="A157" s="510" t="s">
        <v>254</v>
      </c>
      <c r="B157" s="510"/>
      <c r="C157" s="112">
        <f>ROUND(B156*B154*B152*B147,2)</f>
        <v>0</v>
      </c>
    </row>
    <row r="158" spans="1:3" x14ac:dyDescent="0.2">
      <c r="A158" s="504" t="s">
        <v>385</v>
      </c>
      <c r="B158" s="505"/>
      <c r="C158" s="71">
        <f>+C157+C155</f>
        <v>0</v>
      </c>
    </row>
    <row r="160" spans="1:3" x14ac:dyDescent="0.2">
      <c r="A160" s="507" t="s">
        <v>262</v>
      </c>
      <c r="B160" s="508"/>
      <c r="C160" s="509"/>
    </row>
    <row r="161" spans="1:3" x14ac:dyDescent="0.2">
      <c r="A161" s="511" t="s">
        <v>358</v>
      </c>
      <c r="B161" s="511"/>
      <c r="C161" s="511"/>
    </row>
    <row r="162" spans="1:3" x14ac:dyDescent="0.2">
      <c r="A162" s="511"/>
      <c r="B162" s="511"/>
      <c r="C162" s="511"/>
    </row>
    <row r="163" spans="1:3" x14ac:dyDescent="0.2">
      <c r="A163" s="511"/>
      <c r="B163" s="511"/>
      <c r="C163" s="511"/>
    </row>
    <row r="164" spans="1:3" x14ac:dyDescent="0.2">
      <c r="A164" s="511"/>
      <c r="B164" s="511"/>
      <c r="C164" s="511"/>
    </row>
    <row r="165" spans="1:3" x14ac:dyDescent="0.2">
      <c r="A165" s="119"/>
      <c r="B165" s="119"/>
      <c r="C165" s="119"/>
    </row>
    <row r="166" spans="1:3" x14ac:dyDescent="0.2">
      <c r="A166" s="512" t="s">
        <v>261</v>
      </c>
      <c r="B166" s="512"/>
      <c r="C166" s="512"/>
    </row>
    <row r="167" spans="1:3" x14ac:dyDescent="0.2">
      <c r="A167" s="6" t="s">
        <v>263</v>
      </c>
      <c r="B167" s="18">
        <f>+$B$7</f>
        <v>0</v>
      </c>
      <c r="C167" s="52"/>
    </row>
    <row r="168" spans="1:3" x14ac:dyDescent="0.2">
      <c r="A168" s="6" t="s">
        <v>206</v>
      </c>
      <c r="B168" s="6">
        <v>30</v>
      </c>
      <c r="C168" s="52"/>
    </row>
    <row r="169" spans="1:3" x14ac:dyDescent="0.2">
      <c r="A169" s="6" t="s">
        <v>264</v>
      </c>
      <c r="B169" s="6">
        <v>12</v>
      </c>
      <c r="C169" s="52"/>
    </row>
    <row r="170" spans="1:3" x14ac:dyDescent="0.2">
      <c r="A170" s="116" t="s">
        <v>265</v>
      </c>
      <c r="B170" s="116"/>
      <c r="C170" s="52"/>
    </row>
    <row r="171" spans="1:3" x14ac:dyDescent="0.2">
      <c r="A171" s="494" t="s">
        <v>266</v>
      </c>
      <c r="B171" s="494"/>
      <c r="C171" s="24">
        <f>+ROUND((B167/B168/B169)*B170,2)</f>
        <v>0</v>
      </c>
    </row>
    <row r="173" spans="1:3" x14ac:dyDescent="0.2">
      <c r="A173" s="512" t="s">
        <v>269</v>
      </c>
      <c r="B173" s="512"/>
      <c r="C173" s="512"/>
    </row>
    <row r="174" spans="1:3" x14ac:dyDescent="0.2">
      <c r="A174" s="6" t="s">
        <v>263</v>
      </c>
      <c r="B174" s="18">
        <f>+$B$7</f>
        <v>0</v>
      </c>
      <c r="C174" s="52"/>
    </row>
    <row r="175" spans="1:3" x14ac:dyDescent="0.2">
      <c r="A175" s="6" t="s">
        <v>206</v>
      </c>
      <c r="B175" s="6">
        <v>30</v>
      </c>
      <c r="C175" s="52"/>
    </row>
    <row r="176" spans="1:3" x14ac:dyDescent="0.2">
      <c r="A176" s="6" t="s">
        <v>264</v>
      </c>
      <c r="B176" s="6">
        <v>12</v>
      </c>
      <c r="C176" s="52"/>
    </row>
    <row r="177" spans="1:3" x14ac:dyDescent="0.2">
      <c r="A177" s="34" t="s">
        <v>267</v>
      </c>
      <c r="B177" s="6">
        <v>5</v>
      </c>
      <c r="C177" s="52"/>
    </row>
    <row r="178" spans="1:3" x14ac:dyDescent="0.2">
      <c r="A178" s="116" t="s">
        <v>268</v>
      </c>
      <c r="B178" s="114"/>
      <c r="C178" s="52"/>
    </row>
    <row r="179" spans="1:3" x14ac:dyDescent="0.2">
      <c r="A179" s="116" t="s">
        <v>270</v>
      </c>
      <c r="B179" s="114"/>
      <c r="C179" s="52"/>
    </row>
    <row r="180" spans="1:3" x14ac:dyDescent="0.2">
      <c r="A180" s="494" t="s">
        <v>271</v>
      </c>
      <c r="B180" s="494"/>
      <c r="C180" s="45">
        <f>ROUND(+B174/B175/B176*B177*B178*B179,2)</f>
        <v>0</v>
      </c>
    </row>
    <row r="182" spans="1:3" x14ac:dyDescent="0.2">
      <c r="A182" s="512" t="s">
        <v>272</v>
      </c>
      <c r="B182" s="512"/>
      <c r="C182" s="512"/>
    </row>
    <row r="183" spans="1:3" x14ac:dyDescent="0.2">
      <c r="A183" s="6" t="s">
        <v>263</v>
      </c>
      <c r="B183" s="18">
        <f>+$B$7</f>
        <v>0</v>
      </c>
      <c r="C183" s="52"/>
    </row>
    <row r="184" spans="1:3" x14ac:dyDescent="0.2">
      <c r="A184" s="6" t="s">
        <v>206</v>
      </c>
      <c r="B184" s="6">
        <v>30</v>
      </c>
      <c r="C184" s="52"/>
    </row>
    <row r="185" spans="1:3" x14ac:dyDescent="0.2">
      <c r="A185" s="6" t="s">
        <v>264</v>
      </c>
      <c r="B185" s="6">
        <v>12</v>
      </c>
      <c r="C185" s="52"/>
    </row>
    <row r="186" spans="1:3" x14ac:dyDescent="0.2">
      <c r="A186" s="34" t="s">
        <v>273</v>
      </c>
      <c r="B186" s="6">
        <v>15</v>
      </c>
      <c r="C186" s="52"/>
    </row>
    <row r="187" spans="1:3" x14ac:dyDescent="0.2">
      <c r="A187" s="116" t="s">
        <v>274</v>
      </c>
      <c r="B187" s="114"/>
      <c r="C187" s="52"/>
    </row>
    <row r="188" spans="1:3" x14ac:dyDescent="0.2">
      <c r="A188" s="494" t="s">
        <v>370</v>
      </c>
      <c r="B188" s="494"/>
      <c r="C188" s="45">
        <f>ROUND(+B183/B184/B185*B186*B187,2)</f>
        <v>0</v>
      </c>
    </row>
    <row r="190" spans="1:3" x14ac:dyDescent="0.2">
      <c r="A190" s="512" t="s">
        <v>275</v>
      </c>
      <c r="B190" s="512"/>
      <c r="C190" s="512"/>
    </row>
    <row r="191" spans="1:3" x14ac:dyDescent="0.2">
      <c r="A191" s="6" t="s">
        <v>263</v>
      </c>
      <c r="B191" s="18">
        <f>+$B$7</f>
        <v>0</v>
      </c>
      <c r="C191" s="52"/>
    </row>
    <row r="192" spans="1:3" x14ac:dyDescent="0.2">
      <c r="A192" s="6" t="s">
        <v>206</v>
      </c>
      <c r="B192" s="6">
        <v>30</v>
      </c>
      <c r="C192" s="52"/>
    </row>
    <row r="193" spans="1:3" x14ac:dyDescent="0.2">
      <c r="A193" s="6" t="s">
        <v>264</v>
      </c>
      <c r="B193" s="6">
        <v>12</v>
      </c>
      <c r="C193" s="52"/>
    </row>
    <row r="194" spans="1:3" x14ac:dyDescent="0.2">
      <c r="A194" s="34" t="s">
        <v>273</v>
      </c>
      <c r="B194" s="6">
        <v>5</v>
      </c>
      <c r="C194" s="52"/>
    </row>
    <row r="195" spans="1:3" x14ac:dyDescent="0.2">
      <c r="A195" s="116" t="s">
        <v>276</v>
      </c>
      <c r="B195" s="114"/>
      <c r="C195" s="52"/>
    </row>
    <row r="196" spans="1:3" x14ac:dyDescent="0.2">
      <c r="A196" s="494" t="s">
        <v>371</v>
      </c>
      <c r="B196" s="494"/>
      <c r="C196" s="45">
        <f>ROUND(+B191/B192/B193*B194*B195,2)</f>
        <v>0</v>
      </c>
    </row>
    <row r="198" spans="1:3" x14ac:dyDescent="0.2">
      <c r="A198" s="459" t="s">
        <v>108</v>
      </c>
      <c r="B198" s="459"/>
      <c r="C198" s="459"/>
    </row>
    <row r="199" spans="1:3" x14ac:dyDescent="0.2">
      <c r="A199" s="83" t="s">
        <v>23</v>
      </c>
      <c r="B199" s="87"/>
      <c r="C199" s="18">
        <f>+'Vigilante 12X36 Diurno Des'!D23-'Vigilante 12X36 Diurno Des'!D21</f>
        <v>0</v>
      </c>
    </row>
    <row r="200" spans="1:3" x14ac:dyDescent="0.2">
      <c r="A200" s="83" t="s">
        <v>68</v>
      </c>
      <c r="B200" s="87"/>
      <c r="C200" s="18">
        <f>+'Vigilante 12X36 Diurno Des'!D68</f>
        <v>0</v>
      </c>
    </row>
    <row r="201" spans="1:3" x14ac:dyDescent="0.2">
      <c r="A201" s="83" t="s">
        <v>153</v>
      </c>
      <c r="B201" s="87"/>
      <c r="C201" s="18">
        <f>+'Vigilante 12X36 Diurno Des'!D116</f>
        <v>0</v>
      </c>
    </row>
    <row r="202" spans="1:3" x14ac:dyDescent="0.2">
      <c r="A202" s="83" t="s">
        <v>86</v>
      </c>
      <c r="B202" s="87"/>
      <c r="C202" s="18">
        <f>+'Vigilante 12X36 Diurno Des'!D107</f>
        <v>0</v>
      </c>
    </row>
    <row r="203" spans="1:3" x14ac:dyDescent="0.2">
      <c r="A203" s="83" t="s">
        <v>92</v>
      </c>
      <c r="B203" s="87"/>
      <c r="C203" s="18">
        <f>+'Vigilante 12X36 Diurno Des'!D108</f>
        <v>0</v>
      </c>
    </row>
    <row r="204" spans="1:3" x14ac:dyDescent="0.2">
      <c r="A204" s="83" t="s">
        <v>70</v>
      </c>
      <c r="B204" s="87"/>
      <c r="C204" s="18">
        <f>+'Vigilante 12X36 Diurno Des'!D79</f>
        <v>0</v>
      </c>
    </row>
    <row r="205" spans="1:3" x14ac:dyDescent="0.2">
      <c r="A205" s="83" t="s">
        <v>193</v>
      </c>
      <c r="B205" s="87"/>
      <c r="C205" s="18">
        <f>SUM(C199:C204)</f>
        <v>0</v>
      </c>
    </row>
    <row r="206" spans="1:3" x14ac:dyDescent="0.2">
      <c r="A206" s="83" t="s">
        <v>102</v>
      </c>
      <c r="B206" s="84">
        <v>220</v>
      </c>
      <c r="C206" s="85"/>
    </row>
    <row r="207" spans="1:3" x14ac:dyDescent="0.2">
      <c r="A207" s="83" t="s">
        <v>103</v>
      </c>
      <c r="B207" s="87"/>
      <c r="C207" s="18">
        <f>ROUND(C205/B206,2)</f>
        <v>0</v>
      </c>
    </row>
    <row r="208" spans="1:3" x14ac:dyDescent="0.2">
      <c r="A208" s="6" t="s">
        <v>104</v>
      </c>
      <c r="B208" s="51">
        <f>(365.25/12/2)/(7/7)</f>
        <v>15.21875</v>
      </c>
      <c r="C208" s="58"/>
    </row>
    <row r="209" spans="1:3" x14ac:dyDescent="0.2">
      <c r="A209" s="504" t="s">
        <v>106</v>
      </c>
      <c r="B209" s="505"/>
      <c r="C209" s="71">
        <f>ROUND(+B208*C207,2)</f>
        <v>0</v>
      </c>
    </row>
    <row r="211" spans="1:3" x14ac:dyDescent="0.2">
      <c r="A211" s="512" t="s">
        <v>277</v>
      </c>
      <c r="B211" s="512"/>
      <c r="C211" s="512"/>
    </row>
    <row r="212" spans="1:3" x14ac:dyDescent="0.2">
      <c r="A212" s="513" t="s">
        <v>282</v>
      </c>
      <c r="B212" s="514"/>
      <c r="C212" s="515"/>
    </row>
    <row r="213" spans="1:3" x14ac:dyDescent="0.2">
      <c r="A213" s="6" t="s">
        <v>263</v>
      </c>
      <c r="B213" s="18">
        <f>+$B$7</f>
        <v>0</v>
      </c>
      <c r="C213" s="52"/>
    </row>
    <row r="214" spans="1:3" x14ac:dyDescent="0.2">
      <c r="A214" s="6" t="s">
        <v>281</v>
      </c>
      <c r="B214" s="18">
        <f>+B213*(1/3)</f>
        <v>0</v>
      </c>
      <c r="C214" s="52"/>
    </row>
    <row r="215" spans="1:3" x14ac:dyDescent="0.2">
      <c r="A215" s="104" t="s">
        <v>248</v>
      </c>
      <c r="B215" s="105">
        <f>SUM(B213:B214)</f>
        <v>0</v>
      </c>
      <c r="C215" s="52"/>
    </row>
    <row r="216" spans="1:3" x14ac:dyDescent="0.2">
      <c r="A216" s="6" t="s">
        <v>278</v>
      </c>
      <c r="B216" s="6">
        <v>4</v>
      </c>
      <c r="C216" s="52"/>
    </row>
    <row r="217" spans="1:3" x14ac:dyDescent="0.2">
      <c r="A217" s="6" t="s">
        <v>264</v>
      </c>
      <c r="B217" s="6">
        <v>12</v>
      </c>
      <c r="C217" s="52"/>
    </row>
    <row r="218" spans="1:3" x14ac:dyDescent="0.2">
      <c r="A218" s="116" t="s">
        <v>279</v>
      </c>
      <c r="B218" s="114"/>
      <c r="C218" s="52"/>
    </row>
    <row r="219" spans="1:3" x14ac:dyDescent="0.2">
      <c r="A219" s="116" t="s">
        <v>280</v>
      </c>
      <c r="B219" s="114"/>
      <c r="C219" s="52"/>
    </row>
    <row r="220" spans="1:3" x14ac:dyDescent="0.2">
      <c r="A220" s="494" t="s">
        <v>283</v>
      </c>
      <c r="B220" s="494"/>
      <c r="C220" s="45">
        <f>ROUND((((+B215*(B216/B217)/B217)*B218)*B219),2)</f>
        <v>0</v>
      </c>
    </row>
    <row r="221" spans="1:3" x14ac:dyDescent="0.2">
      <c r="A221" s="494" t="s">
        <v>284</v>
      </c>
      <c r="B221" s="494"/>
      <c r="C221" s="494"/>
    </row>
    <row r="222" spans="1:3" x14ac:dyDescent="0.2">
      <c r="A222" s="6" t="s">
        <v>263</v>
      </c>
      <c r="B222" s="18">
        <f>+'Vigilante 12X36 Diurno Des'!D23</f>
        <v>0</v>
      </c>
      <c r="C222" s="52"/>
    </row>
    <row r="223" spans="1:3" x14ac:dyDescent="0.2">
      <c r="A223" s="6" t="s">
        <v>46</v>
      </c>
      <c r="B223" s="18">
        <f>+'Vigilante 12X36 Diurno Des'!D29</f>
        <v>0</v>
      </c>
      <c r="C223" s="52"/>
    </row>
    <row r="224" spans="1:3" x14ac:dyDescent="0.2">
      <c r="A224" s="104" t="s">
        <v>248</v>
      </c>
      <c r="B224" s="105">
        <f>SUM(B222:B223)</f>
        <v>0</v>
      </c>
      <c r="C224" s="52"/>
    </row>
    <row r="225" spans="1:3" x14ac:dyDescent="0.2">
      <c r="A225" s="6" t="s">
        <v>278</v>
      </c>
      <c r="B225" s="6">
        <v>4</v>
      </c>
      <c r="C225" s="52"/>
    </row>
    <row r="226" spans="1:3" x14ac:dyDescent="0.2">
      <c r="A226" s="6" t="s">
        <v>264</v>
      </c>
      <c r="B226" s="6">
        <v>12</v>
      </c>
      <c r="C226" s="52"/>
    </row>
    <row r="227" spans="1:3" x14ac:dyDescent="0.2">
      <c r="A227" s="116" t="s">
        <v>279</v>
      </c>
      <c r="B227" s="114"/>
      <c r="C227" s="52"/>
    </row>
    <row r="228" spans="1:3" x14ac:dyDescent="0.2">
      <c r="A228" s="116" t="s">
        <v>280</v>
      </c>
      <c r="B228" s="114"/>
      <c r="C228" s="52"/>
    </row>
    <row r="229" spans="1:3" x14ac:dyDescent="0.2">
      <c r="A229" s="34" t="s">
        <v>285</v>
      </c>
      <c r="B229" s="17">
        <f>+'Vigilante 12X36 Diurno Des'!C45</f>
        <v>0.36800000000000005</v>
      </c>
      <c r="C229" s="52"/>
    </row>
    <row r="230" spans="1:3" x14ac:dyDescent="0.2">
      <c r="A230" s="494" t="s">
        <v>286</v>
      </c>
      <c r="B230" s="494"/>
      <c r="C230" s="71">
        <f>ROUND((((B224*(B225/B226)*B227)*B228)*B229),2)</f>
        <v>0</v>
      </c>
    </row>
  </sheetData>
  <mergeCells count="44">
    <mergeCell ref="A100:C100"/>
    <mergeCell ref="A1:C1"/>
    <mergeCell ref="A9:C9"/>
    <mergeCell ref="A25:B25"/>
    <mergeCell ref="A27:C27"/>
    <mergeCell ref="A38:C38"/>
    <mergeCell ref="A51:B51"/>
    <mergeCell ref="A53:C53"/>
    <mergeCell ref="A66:B66"/>
    <mergeCell ref="A68:C68"/>
    <mergeCell ref="A79:C79"/>
    <mergeCell ref="A98:B98"/>
    <mergeCell ref="A146:C146"/>
    <mergeCell ref="A107:B107"/>
    <mergeCell ref="A109:C109"/>
    <mergeCell ref="A116:B116"/>
    <mergeCell ref="A118:C118"/>
    <mergeCell ref="A122:B122"/>
    <mergeCell ref="A124:C124"/>
    <mergeCell ref="A133:B133"/>
    <mergeCell ref="A135:B135"/>
    <mergeCell ref="A136:B136"/>
    <mergeCell ref="A138:C138"/>
    <mergeCell ref="A144:B144"/>
    <mergeCell ref="A190:C190"/>
    <mergeCell ref="A155:B155"/>
    <mergeCell ref="A157:B157"/>
    <mergeCell ref="A158:B158"/>
    <mergeCell ref="A160:C160"/>
    <mergeCell ref="A161:C164"/>
    <mergeCell ref="A166:C166"/>
    <mergeCell ref="A171:B171"/>
    <mergeCell ref="A173:C173"/>
    <mergeCell ref="A180:B180"/>
    <mergeCell ref="A182:C182"/>
    <mergeCell ref="A188:B188"/>
    <mergeCell ref="A221:C221"/>
    <mergeCell ref="A230:B230"/>
    <mergeCell ref="A196:B196"/>
    <mergeCell ref="A198:C198"/>
    <mergeCell ref="A209:B209"/>
    <mergeCell ref="A211:C211"/>
    <mergeCell ref="A212:C212"/>
    <mergeCell ref="A220:B220"/>
  </mergeCells>
  <pageMargins left="0.85" right="0.17" top="0.78740157480314965" bottom="0.78740157480314965" header="0.31496062992125984" footer="0.31496062992125984"/>
  <pageSetup paperSize="9" scale="90" orientation="portrait" r:id="rId1"/>
  <headerFooter>
    <oddFooter>&amp;A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theme="9" tint="0.39997558519241921"/>
  </sheetPr>
  <dimension ref="A1:F187"/>
  <sheetViews>
    <sheetView topLeftCell="A55" workbookViewId="0">
      <selection activeCell="D51" sqref="D51"/>
    </sheetView>
  </sheetViews>
  <sheetFormatPr defaultRowHeight="12.75" x14ac:dyDescent="0.2"/>
  <cols>
    <col min="1" max="1" width="5.625" customWidth="1"/>
    <col min="2" max="2" width="50.5" customWidth="1"/>
    <col min="3" max="3" width="9.375" bestFit="1" customWidth="1"/>
    <col min="4" max="4" width="15.625" customWidth="1"/>
    <col min="5" max="5" width="11.75" bestFit="1" customWidth="1"/>
  </cols>
  <sheetData>
    <row r="1" spans="1:6" x14ac:dyDescent="0.2">
      <c r="A1" s="477" t="s">
        <v>211</v>
      </c>
      <c r="B1" s="478"/>
      <c r="C1" s="478"/>
      <c r="D1" s="479"/>
      <c r="E1" s="3"/>
      <c r="F1" s="3"/>
    </row>
    <row r="5" spans="1:6" x14ac:dyDescent="0.2">
      <c r="A5" s="460" t="s">
        <v>16</v>
      </c>
      <c r="B5" s="461"/>
      <c r="C5" s="461"/>
      <c r="D5" s="462"/>
    </row>
    <row r="6" spans="1:6" s="1" customFormat="1" ht="24.75" customHeight="1" x14ac:dyDescent="0.2">
      <c r="A6" s="169">
        <v>1</v>
      </c>
      <c r="B6" s="168" t="s">
        <v>17</v>
      </c>
      <c r="C6" s="534" t="s">
        <v>353</v>
      </c>
      <c r="D6" s="535"/>
    </row>
    <row r="7" spans="1:6" s="1" customFormat="1" x14ac:dyDescent="0.2">
      <c r="A7" s="169">
        <v>2</v>
      </c>
      <c r="B7" s="168" t="s">
        <v>18</v>
      </c>
      <c r="C7" s="536" t="s">
        <v>295</v>
      </c>
      <c r="D7" s="537"/>
    </row>
    <row r="8" spans="1:6" s="1" customFormat="1" x14ac:dyDescent="0.2">
      <c r="A8" s="169">
        <v>3</v>
      </c>
      <c r="B8" s="168" t="s">
        <v>19</v>
      </c>
      <c r="C8" s="484"/>
      <c r="D8" s="484"/>
    </row>
    <row r="9" spans="1:6" s="1" customFormat="1" ht="42.75" customHeight="1" x14ac:dyDescent="0.2">
      <c r="A9" s="169">
        <v>4</v>
      </c>
      <c r="B9" s="168" t="s">
        <v>21</v>
      </c>
      <c r="C9" s="538" t="s">
        <v>296</v>
      </c>
      <c r="D9" s="539"/>
    </row>
    <row r="10" spans="1:6" s="1" customFormat="1" x14ac:dyDescent="0.2">
      <c r="A10" s="169">
        <v>5</v>
      </c>
      <c r="B10" s="168" t="s">
        <v>20</v>
      </c>
      <c r="C10" s="540">
        <v>43160</v>
      </c>
      <c r="D10" s="541"/>
    </row>
    <row r="11" spans="1:6" x14ac:dyDescent="0.2">
      <c r="D11" s="202"/>
    </row>
    <row r="12" spans="1:6" x14ac:dyDescent="0.2">
      <c r="A12" s="455" t="s">
        <v>22</v>
      </c>
      <c r="B12" s="455"/>
      <c r="C12" s="455"/>
      <c r="D12" s="455"/>
    </row>
    <row r="13" spans="1:6" x14ac:dyDescent="0.2">
      <c r="A13" s="132" t="s">
        <v>297</v>
      </c>
      <c r="B13" s="94" t="s">
        <v>23</v>
      </c>
      <c r="C13" s="152" t="s">
        <v>50</v>
      </c>
      <c r="D13" s="5" t="s">
        <v>24</v>
      </c>
    </row>
    <row r="14" spans="1:6" x14ac:dyDescent="0.2">
      <c r="A14" s="153" t="s">
        <v>3</v>
      </c>
      <c r="B14" s="388" t="s">
        <v>30</v>
      </c>
      <c r="C14" s="388"/>
      <c r="D14" s="7">
        <f>+C8</f>
        <v>0</v>
      </c>
    </row>
    <row r="15" spans="1:6" x14ac:dyDescent="0.2">
      <c r="A15" s="153" t="s">
        <v>4</v>
      </c>
      <c r="B15" s="89" t="s">
        <v>31</v>
      </c>
      <c r="C15" s="95">
        <v>0.3</v>
      </c>
      <c r="D15" s="7">
        <f>+C15*D14</f>
        <v>0</v>
      </c>
      <c r="E15" s="88"/>
    </row>
    <row r="16" spans="1:6" x14ac:dyDescent="0.2">
      <c r="A16" s="153" t="s">
        <v>5</v>
      </c>
      <c r="B16" s="89" t="s">
        <v>32</v>
      </c>
      <c r="C16" s="95"/>
      <c r="D16" s="7"/>
    </row>
    <row r="17" spans="1:6" x14ac:dyDescent="0.2">
      <c r="A17" s="153" t="s">
        <v>6</v>
      </c>
      <c r="B17" s="388" t="s">
        <v>33</v>
      </c>
      <c r="C17" s="388"/>
      <c r="D17" s="7">
        <f>+'Calculo 12 36 Not Des'!C66</f>
        <v>0</v>
      </c>
    </row>
    <row r="18" spans="1:6" x14ac:dyDescent="0.2">
      <c r="A18" s="153" t="s">
        <v>25</v>
      </c>
      <c r="B18" s="388" t="s">
        <v>34</v>
      </c>
      <c r="C18" s="388"/>
      <c r="D18" s="7">
        <f>+'Calculo 12 36 Not Des'!C98</f>
        <v>0</v>
      </c>
    </row>
    <row r="19" spans="1:6" x14ac:dyDescent="0.2">
      <c r="A19" s="153" t="s">
        <v>26</v>
      </c>
      <c r="B19" s="468" t="s">
        <v>231</v>
      </c>
      <c r="C19" s="469"/>
      <c r="D19" s="7"/>
    </row>
    <row r="20" spans="1:6" x14ac:dyDescent="0.2">
      <c r="A20" s="153" t="s">
        <v>27</v>
      </c>
      <c r="B20" s="388" t="s">
        <v>35</v>
      </c>
      <c r="C20" s="388"/>
      <c r="D20" s="7"/>
    </row>
    <row r="21" spans="1:6" x14ac:dyDescent="0.2">
      <c r="A21" s="153" t="s">
        <v>28</v>
      </c>
      <c r="B21" s="468" t="s">
        <v>195</v>
      </c>
      <c r="C21" s="469"/>
      <c r="D21" s="93"/>
    </row>
    <row r="22" spans="1:6" x14ac:dyDescent="0.2">
      <c r="A22" s="153" t="s">
        <v>64</v>
      </c>
      <c r="B22" s="89" t="s">
        <v>65</v>
      </c>
      <c r="C22" s="95"/>
      <c r="D22" s="7"/>
    </row>
    <row r="23" spans="1:6" x14ac:dyDescent="0.2">
      <c r="A23" s="153" t="s">
        <v>194</v>
      </c>
      <c r="B23" s="388" t="s">
        <v>95</v>
      </c>
      <c r="C23" s="388"/>
      <c r="D23" s="8"/>
      <c r="F23" s="98"/>
    </row>
    <row r="24" spans="1:6" x14ac:dyDescent="0.2">
      <c r="A24" s="153" t="s">
        <v>196</v>
      </c>
      <c r="B24" s="388" t="s">
        <v>36</v>
      </c>
      <c r="C24" s="388"/>
      <c r="D24" s="8"/>
    </row>
    <row r="25" spans="1:6" x14ac:dyDescent="0.2">
      <c r="A25" s="474" t="s">
        <v>29</v>
      </c>
      <c r="B25" s="474"/>
      <c r="C25" s="474"/>
      <c r="D25" s="9">
        <f>SUM(D14:D24)</f>
        <v>0</v>
      </c>
    </row>
    <row r="27" spans="1:6" x14ac:dyDescent="0.2">
      <c r="A27" s="455" t="s">
        <v>37</v>
      </c>
      <c r="B27" s="455"/>
      <c r="C27" s="455"/>
      <c r="D27" s="455"/>
    </row>
    <row r="29" spans="1:6" x14ac:dyDescent="0.2">
      <c r="A29" s="460" t="s">
        <v>38</v>
      </c>
      <c r="B29" s="461"/>
      <c r="C29" s="461"/>
      <c r="D29" s="461"/>
    </row>
    <row r="30" spans="1:6" x14ac:dyDescent="0.2">
      <c r="A30" s="19" t="s">
        <v>39</v>
      </c>
      <c r="B30" s="14" t="s">
        <v>40</v>
      </c>
      <c r="C30" s="22" t="s">
        <v>50</v>
      </c>
      <c r="D30" s="20" t="s">
        <v>24</v>
      </c>
    </row>
    <row r="31" spans="1:6" x14ac:dyDescent="0.2">
      <c r="A31" s="153" t="s">
        <v>3</v>
      </c>
      <c r="B31" s="6" t="s">
        <v>46</v>
      </c>
      <c r="C31" s="29" t="e">
        <f>ROUND(+D31/$D$25,4)</f>
        <v>#DIV/0!</v>
      </c>
      <c r="D31" s="8">
        <f>ROUND(+D25/12,2)</f>
        <v>0</v>
      </c>
    </row>
    <row r="32" spans="1:6" x14ac:dyDescent="0.2">
      <c r="A32" s="28" t="s">
        <v>4</v>
      </c>
      <c r="B32" s="37" t="s">
        <v>43</v>
      </c>
      <c r="C32" s="38" t="e">
        <f>ROUND(+D32/$D$25,4)</f>
        <v>#DIV/0!</v>
      </c>
      <c r="D32" s="39">
        <f>+D33+D34</f>
        <v>0</v>
      </c>
    </row>
    <row r="33" spans="1:4" x14ac:dyDescent="0.2">
      <c r="A33" s="153" t="s">
        <v>41</v>
      </c>
      <c r="B33" s="35" t="s">
        <v>45</v>
      </c>
      <c r="C33" s="40" t="e">
        <f>ROUND(+D33/$D$25,4)</f>
        <v>#DIV/0!</v>
      </c>
      <c r="D33" s="36">
        <f>ROUND(+D25/12,2)</f>
        <v>0</v>
      </c>
    </row>
    <row r="34" spans="1:4" x14ac:dyDescent="0.2">
      <c r="A34" s="153" t="s">
        <v>42</v>
      </c>
      <c r="B34" s="35" t="s">
        <v>44</v>
      </c>
      <c r="C34" s="40" t="e">
        <f>ROUND(+D34/$D$25,4)</f>
        <v>#DIV/0!</v>
      </c>
      <c r="D34" s="36">
        <f>ROUND(+(D25*1/3)/12,2)</f>
        <v>0</v>
      </c>
    </row>
    <row r="35" spans="1:4" x14ac:dyDescent="0.2">
      <c r="A35" s="474" t="s">
        <v>29</v>
      </c>
      <c r="B35" s="474"/>
      <c r="C35" s="474"/>
      <c r="D35" s="9">
        <f>+D32+D31</f>
        <v>0</v>
      </c>
    </row>
    <row r="37" spans="1:4" x14ac:dyDescent="0.2">
      <c r="A37" s="467" t="s">
        <v>47</v>
      </c>
      <c r="B37" s="467"/>
      <c r="C37" s="467"/>
      <c r="D37" s="467"/>
    </row>
    <row r="38" spans="1:4" x14ac:dyDescent="0.2">
      <c r="A38" s="19" t="s">
        <v>48</v>
      </c>
      <c r="B38" s="21" t="s">
        <v>49</v>
      </c>
      <c r="C38" s="22" t="s">
        <v>50</v>
      </c>
      <c r="D38" s="20" t="s">
        <v>24</v>
      </c>
    </row>
    <row r="39" spans="1:4" x14ac:dyDescent="0.2">
      <c r="A39" s="153" t="s">
        <v>3</v>
      </c>
      <c r="B39" s="6" t="s">
        <v>51</v>
      </c>
      <c r="C39" s="17">
        <v>0.2</v>
      </c>
      <c r="D39" s="18">
        <f>ROUND(C39*($D$25+$D$35),2)</f>
        <v>0</v>
      </c>
    </row>
    <row r="40" spans="1:4" x14ac:dyDescent="0.2">
      <c r="A40" s="153" t="s">
        <v>4</v>
      </c>
      <c r="B40" s="6" t="s">
        <v>52</v>
      </c>
      <c r="C40" s="17">
        <v>2.5000000000000001E-2</v>
      </c>
      <c r="D40" s="18">
        <f t="shared" ref="D40:D45" si="0">ROUND(C40*($D$25+$D$35),2)</f>
        <v>0</v>
      </c>
    </row>
    <row r="41" spans="1:4" x14ac:dyDescent="0.2">
      <c r="A41" s="153" t="s">
        <v>5</v>
      </c>
      <c r="B41" s="6" t="s">
        <v>58</v>
      </c>
      <c r="C41" s="17">
        <f>3%</f>
        <v>0.03</v>
      </c>
      <c r="D41" s="18">
        <f t="shared" si="0"/>
        <v>0</v>
      </c>
    </row>
    <row r="42" spans="1:4" x14ac:dyDescent="0.2">
      <c r="A42" s="153" t="s">
        <v>6</v>
      </c>
      <c r="B42" s="6" t="s">
        <v>53</v>
      </c>
      <c r="C42" s="17">
        <v>1.4999999999999999E-2</v>
      </c>
      <c r="D42" s="18">
        <f t="shared" si="0"/>
        <v>0</v>
      </c>
    </row>
    <row r="43" spans="1:4" x14ac:dyDescent="0.2">
      <c r="A43" s="153" t="s">
        <v>25</v>
      </c>
      <c r="B43" s="6" t="s">
        <v>54</v>
      </c>
      <c r="C43" s="17">
        <v>0.01</v>
      </c>
      <c r="D43" s="18">
        <f t="shared" si="0"/>
        <v>0</v>
      </c>
    </row>
    <row r="44" spans="1:4" x14ac:dyDescent="0.2">
      <c r="A44" s="153" t="s">
        <v>26</v>
      </c>
      <c r="B44" s="6" t="s">
        <v>55</v>
      </c>
      <c r="C44" s="17">
        <v>6.0000000000000001E-3</v>
      </c>
      <c r="D44" s="18">
        <f t="shared" si="0"/>
        <v>0</v>
      </c>
    </row>
    <row r="45" spans="1:4" x14ac:dyDescent="0.2">
      <c r="A45" s="153" t="s">
        <v>27</v>
      </c>
      <c r="B45" s="6" t="s">
        <v>56</v>
      </c>
      <c r="C45" s="17">
        <v>2E-3</v>
      </c>
      <c r="D45" s="18">
        <f t="shared" si="0"/>
        <v>0</v>
      </c>
    </row>
    <row r="46" spans="1:4" x14ac:dyDescent="0.2">
      <c r="A46" s="153" t="s">
        <v>28</v>
      </c>
      <c r="B46" s="6" t="s">
        <v>57</v>
      </c>
      <c r="C46" s="17">
        <v>0.08</v>
      </c>
      <c r="D46" s="18">
        <f>ROUND(C46*($D$25+$D$35),2)</f>
        <v>0</v>
      </c>
    </row>
    <row r="47" spans="1:4" x14ac:dyDescent="0.2">
      <c r="A47" s="154" t="s">
        <v>29</v>
      </c>
      <c r="B47" s="155"/>
      <c r="C47" s="41">
        <f>SUM(C39:C46)</f>
        <v>0.36800000000000005</v>
      </c>
      <c r="D47" s="42">
        <f>SUM(D39:D46)</f>
        <v>0</v>
      </c>
    </row>
    <row r="48" spans="1:4" x14ac:dyDescent="0.2">
      <c r="A48" s="43"/>
      <c r="B48" s="43"/>
      <c r="C48" s="43"/>
      <c r="D48" s="43"/>
    </row>
    <row r="49" spans="1:6" ht="12.75" customHeight="1" x14ac:dyDescent="0.2">
      <c r="A49" s="467" t="s">
        <v>59</v>
      </c>
      <c r="B49" s="467"/>
      <c r="C49" s="467"/>
      <c r="D49" s="467"/>
    </row>
    <row r="50" spans="1:6" x14ac:dyDescent="0.2">
      <c r="A50" s="19" t="s">
        <v>60</v>
      </c>
      <c r="B50" s="21" t="s">
        <v>61</v>
      </c>
      <c r="C50" s="22"/>
      <c r="D50" s="20" t="s">
        <v>24</v>
      </c>
    </row>
    <row r="51" spans="1:6" x14ac:dyDescent="0.2">
      <c r="A51" s="107" t="s">
        <v>3</v>
      </c>
      <c r="B51" s="6" t="s">
        <v>62</v>
      </c>
      <c r="C51" s="54"/>
      <c r="D51" s="18">
        <f>+'Calculo 12 36 Not Des'!C107</f>
        <v>0</v>
      </c>
    </row>
    <row r="52" spans="1:6" s="60" customFormat="1" x14ac:dyDescent="0.2">
      <c r="A52" s="75" t="s">
        <v>177</v>
      </c>
      <c r="B52" s="34" t="s">
        <v>178</v>
      </c>
      <c r="C52" s="29">
        <f>+$C$137+$C$138</f>
        <v>3.6499999999999998E-2</v>
      </c>
      <c r="D52" s="77">
        <f>+(C52*D51)*-1</f>
        <v>0</v>
      </c>
      <c r="F52" s="76"/>
    </row>
    <row r="53" spans="1:6" x14ac:dyDescent="0.2">
      <c r="A53" s="107" t="s">
        <v>4</v>
      </c>
      <c r="B53" s="6" t="s">
        <v>63</v>
      </c>
      <c r="C53" s="54"/>
      <c r="D53" s="18">
        <f>+'Calculo 12 36 Not Des'!C116</f>
        <v>0</v>
      </c>
      <c r="F53" s="61"/>
    </row>
    <row r="54" spans="1:6" s="60" customFormat="1" x14ac:dyDescent="0.2">
      <c r="A54" s="75" t="s">
        <v>41</v>
      </c>
      <c r="B54" s="34" t="s">
        <v>178</v>
      </c>
      <c r="C54" s="29">
        <f>+$C$137+$C$138</f>
        <v>3.6499999999999998E-2</v>
      </c>
      <c r="D54" s="77">
        <f>+(C54*D53)*-1</f>
        <v>0</v>
      </c>
      <c r="F54" s="78"/>
    </row>
    <row r="55" spans="1:6" x14ac:dyDescent="0.2">
      <c r="A55" s="6" t="s">
        <v>5</v>
      </c>
      <c r="B55" s="6" t="s">
        <v>66</v>
      </c>
      <c r="C55" s="54"/>
      <c r="D55" s="18"/>
      <c r="F55" s="61"/>
    </row>
    <row r="56" spans="1:6" x14ac:dyDescent="0.2">
      <c r="A56" s="75" t="s">
        <v>161</v>
      </c>
      <c r="B56" s="34" t="s">
        <v>178</v>
      </c>
      <c r="C56" s="29">
        <f>+$C$137+$C$138</f>
        <v>3.6499999999999998E-2</v>
      </c>
      <c r="D56" s="77">
        <f>+(C56*D55)*-1</f>
        <v>0</v>
      </c>
      <c r="F56" s="61"/>
    </row>
    <row r="57" spans="1:6" x14ac:dyDescent="0.2">
      <c r="A57" s="116" t="s">
        <v>6</v>
      </c>
      <c r="B57" s="116" t="s">
        <v>403</v>
      </c>
      <c r="C57" s="54"/>
      <c r="D57" s="377"/>
      <c r="F57" s="61"/>
    </row>
    <row r="58" spans="1:6" x14ac:dyDescent="0.2">
      <c r="A58" s="75" t="s">
        <v>179</v>
      </c>
      <c r="B58" s="34" t="s">
        <v>178</v>
      </c>
      <c r="C58" s="29">
        <f>+$C$137+$C$138</f>
        <v>3.6499999999999998E-2</v>
      </c>
      <c r="D58" s="77">
        <f>+(C58*D57)*-1</f>
        <v>0</v>
      </c>
      <c r="F58" s="61"/>
    </row>
    <row r="59" spans="1:6" x14ac:dyDescent="0.2">
      <c r="A59" s="116" t="s">
        <v>25</v>
      </c>
      <c r="B59" s="116" t="s">
        <v>436</v>
      </c>
      <c r="C59" s="54"/>
      <c r="D59" s="378"/>
      <c r="F59" s="131"/>
    </row>
    <row r="60" spans="1:6" x14ac:dyDescent="0.2">
      <c r="A60" s="75" t="s">
        <v>180</v>
      </c>
      <c r="B60" s="34" t="s">
        <v>178</v>
      </c>
      <c r="C60" s="29">
        <f>+$C$137+$C$138</f>
        <v>3.6499999999999998E-2</v>
      </c>
      <c r="D60" s="77">
        <f>+(C60*D59)*-1</f>
        <v>0</v>
      </c>
    </row>
    <row r="61" spans="1:6" x14ac:dyDescent="0.2">
      <c r="A61" s="116" t="s">
        <v>26</v>
      </c>
      <c r="B61" s="454" t="s">
        <v>293</v>
      </c>
      <c r="C61" s="454"/>
      <c r="D61" s="377"/>
    </row>
    <row r="62" spans="1:6" x14ac:dyDescent="0.2">
      <c r="A62" s="75" t="s">
        <v>81</v>
      </c>
      <c r="B62" s="34" t="s">
        <v>178</v>
      </c>
      <c r="C62" s="29">
        <f>+$C$137+$C$138</f>
        <v>3.6499999999999998E-2</v>
      </c>
      <c r="D62" s="77">
        <f>+(C62*D61)*-1</f>
        <v>0</v>
      </c>
    </row>
    <row r="63" spans="1:6" x14ac:dyDescent="0.2">
      <c r="A63" s="463" t="s">
        <v>29</v>
      </c>
      <c r="B63" s="465"/>
      <c r="C63" s="16"/>
      <c r="D63" s="130">
        <f>SUM(D51:D62)</f>
        <v>0</v>
      </c>
    </row>
    <row r="65" spans="1:4" x14ac:dyDescent="0.2">
      <c r="A65" s="455" t="s">
        <v>67</v>
      </c>
      <c r="B65" s="455"/>
      <c r="C65" s="455"/>
      <c r="D65" s="455"/>
    </row>
    <row r="66" spans="1:4" x14ac:dyDescent="0.2">
      <c r="A66" s="24">
        <v>2</v>
      </c>
      <c r="B66" s="455" t="s">
        <v>68</v>
      </c>
      <c r="C66" s="455"/>
      <c r="D66" s="158" t="s">
        <v>24</v>
      </c>
    </row>
    <row r="67" spans="1:4" x14ac:dyDescent="0.2">
      <c r="A67" s="25" t="s">
        <v>39</v>
      </c>
      <c r="B67" s="466" t="s">
        <v>40</v>
      </c>
      <c r="C67" s="466"/>
      <c r="D67" s="18">
        <f>+D35</f>
        <v>0</v>
      </c>
    </row>
    <row r="68" spans="1:4" x14ac:dyDescent="0.2">
      <c r="A68" s="25" t="s">
        <v>48</v>
      </c>
      <c r="B68" s="466" t="s">
        <v>49</v>
      </c>
      <c r="C68" s="466"/>
      <c r="D68" s="18">
        <f>+D47</f>
        <v>0</v>
      </c>
    </row>
    <row r="69" spans="1:4" x14ac:dyDescent="0.2">
      <c r="A69" s="25" t="s">
        <v>60</v>
      </c>
      <c r="B69" s="466" t="s">
        <v>61</v>
      </c>
      <c r="C69" s="466"/>
      <c r="D69" s="68">
        <f>+D63</f>
        <v>0</v>
      </c>
    </row>
    <row r="70" spans="1:4" x14ac:dyDescent="0.2">
      <c r="A70" s="455" t="s">
        <v>29</v>
      </c>
      <c r="B70" s="455"/>
      <c r="C70" s="455"/>
      <c r="D70" s="26">
        <f>SUM(D67:D69)</f>
        <v>0</v>
      </c>
    </row>
    <row r="72" spans="1:4" x14ac:dyDescent="0.2">
      <c r="A72" s="455" t="s">
        <v>69</v>
      </c>
      <c r="B72" s="455"/>
      <c r="C72" s="455"/>
      <c r="D72" s="455"/>
    </row>
    <row r="74" spans="1:4" x14ac:dyDescent="0.2">
      <c r="A74" s="13">
        <v>3</v>
      </c>
      <c r="B74" s="14" t="s">
        <v>70</v>
      </c>
      <c r="C74" s="152" t="s">
        <v>50</v>
      </c>
      <c r="D74" s="152" t="s">
        <v>24</v>
      </c>
    </row>
    <row r="75" spans="1:4" x14ac:dyDescent="0.2">
      <c r="A75" s="153" t="s">
        <v>3</v>
      </c>
      <c r="B75" s="34" t="s">
        <v>72</v>
      </c>
      <c r="C75" s="29" t="e">
        <f>+D75/$D$25</f>
        <v>#DIV/0!</v>
      </c>
      <c r="D75" s="118">
        <f>+'Calculo 12 36 Not Des'!C122</f>
        <v>0</v>
      </c>
    </row>
    <row r="76" spans="1:4" x14ac:dyDescent="0.2">
      <c r="A76" s="153" t="s">
        <v>4</v>
      </c>
      <c r="B76" s="6" t="s">
        <v>73</v>
      </c>
      <c r="C76" s="52"/>
      <c r="D76" s="8">
        <f>ROUND(+D75*$C$46,2)</f>
        <v>0</v>
      </c>
    </row>
    <row r="77" spans="1:4" ht="25.5" x14ac:dyDescent="0.2">
      <c r="A77" s="153" t="s">
        <v>5</v>
      </c>
      <c r="B77" s="30" t="s">
        <v>75</v>
      </c>
      <c r="C77" s="17" t="e">
        <f>+D77/$D$25</f>
        <v>#DIV/0!</v>
      </c>
      <c r="D77" s="8">
        <f>+'Calculo 12 36 Not Des'!C136</f>
        <v>0</v>
      </c>
    </row>
    <row r="78" spans="1:4" x14ac:dyDescent="0.2">
      <c r="A78" s="108" t="s">
        <v>6</v>
      </c>
      <c r="B78" s="6" t="s">
        <v>71</v>
      </c>
      <c r="C78" s="17" t="e">
        <f>+D78/$D$25</f>
        <v>#DIV/0!</v>
      </c>
      <c r="D78" s="8">
        <f>+'Calculo 12 36 Not Des'!C144</f>
        <v>0</v>
      </c>
    </row>
    <row r="79" spans="1:4" ht="25.5" x14ac:dyDescent="0.2">
      <c r="A79" s="108" t="s">
        <v>25</v>
      </c>
      <c r="B79" s="30" t="s">
        <v>74</v>
      </c>
      <c r="C79" s="52"/>
      <c r="D79" s="384"/>
    </row>
    <row r="80" spans="1:4" ht="25.5" x14ac:dyDescent="0.2">
      <c r="A80" s="108" t="s">
        <v>26</v>
      </c>
      <c r="B80" s="30" t="s">
        <v>76</v>
      </c>
      <c r="C80" s="17" t="e">
        <f>+D80/$D$25</f>
        <v>#DIV/0!</v>
      </c>
      <c r="D80" s="18">
        <f>+'Calculo 12 36 Not Des'!C158</f>
        <v>0</v>
      </c>
    </row>
    <row r="81" spans="1:4" x14ac:dyDescent="0.2">
      <c r="A81" s="463" t="s">
        <v>29</v>
      </c>
      <c r="B81" s="464"/>
      <c r="C81" s="465"/>
      <c r="D81" s="32">
        <f>SUM(D75:D80)</f>
        <v>0</v>
      </c>
    </row>
    <row r="83" spans="1:4" x14ac:dyDescent="0.2">
      <c r="A83" s="455" t="s">
        <v>84</v>
      </c>
      <c r="B83" s="455"/>
      <c r="C83" s="455"/>
      <c r="D83" s="455"/>
    </row>
    <row r="85" spans="1:4" x14ac:dyDescent="0.2">
      <c r="A85" s="467" t="s">
        <v>87</v>
      </c>
      <c r="B85" s="467"/>
      <c r="C85" s="467"/>
      <c r="D85" s="467"/>
    </row>
    <row r="86" spans="1:4" x14ac:dyDescent="0.2">
      <c r="A86" s="13" t="s">
        <v>85</v>
      </c>
      <c r="B86" s="463" t="s">
        <v>86</v>
      </c>
      <c r="C86" s="465"/>
      <c r="D86" s="152" t="s">
        <v>24</v>
      </c>
    </row>
    <row r="87" spans="1:4" x14ac:dyDescent="0.2">
      <c r="A87" s="6" t="s">
        <v>3</v>
      </c>
      <c r="B87" s="470" t="s">
        <v>88</v>
      </c>
      <c r="C87" s="471"/>
      <c r="D87" s="8"/>
    </row>
    <row r="88" spans="1:4" x14ac:dyDescent="0.2">
      <c r="A88" s="34" t="s">
        <v>4</v>
      </c>
      <c r="B88" s="488" t="s">
        <v>86</v>
      </c>
      <c r="C88" s="489"/>
      <c r="D88" s="120">
        <f>+'Calculo 12 36 Not Des'!C171</f>
        <v>0</v>
      </c>
    </row>
    <row r="89" spans="1:4" s="60" customFormat="1" x14ac:dyDescent="0.2">
      <c r="A89" s="34" t="s">
        <v>5</v>
      </c>
      <c r="B89" s="488" t="s">
        <v>89</v>
      </c>
      <c r="C89" s="489"/>
      <c r="D89" s="120">
        <f>+'Calculo 12 36 Not Des'!C180</f>
        <v>0</v>
      </c>
    </row>
    <row r="90" spans="1:4" s="60" customFormat="1" x14ac:dyDescent="0.2">
      <c r="A90" s="34" t="s">
        <v>6</v>
      </c>
      <c r="B90" s="488" t="s">
        <v>90</v>
      </c>
      <c r="C90" s="489"/>
      <c r="D90" s="120">
        <f>+'Calculo 12 36 Not Des'!C188</f>
        <v>0</v>
      </c>
    </row>
    <row r="91" spans="1:4" s="60" customFormat="1" ht="13.5" x14ac:dyDescent="0.2">
      <c r="A91" s="34" t="s">
        <v>25</v>
      </c>
      <c r="B91" s="488" t="s">
        <v>287</v>
      </c>
      <c r="C91" s="489"/>
      <c r="D91" s="120"/>
    </row>
    <row r="92" spans="1:4" s="60" customFormat="1" x14ac:dyDescent="0.2">
      <c r="A92" s="34" t="s">
        <v>26</v>
      </c>
      <c r="B92" s="488" t="s">
        <v>93</v>
      </c>
      <c r="C92" s="489"/>
      <c r="D92" s="120">
        <f>+'Calculo 12 36 Not Des'!C196</f>
        <v>0</v>
      </c>
    </row>
    <row r="93" spans="1:4" x14ac:dyDescent="0.2">
      <c r="A93" s="6" t="s">
        <v>27</v>
      </c>
      <c r="B93" s="470" t="s">
        <v>36</v>
      </c>
      <c r="C93" s="471"/>
      <c r="D93" s="8"/>
    </row>
    <row r="94" spans="1:4" x14ac:dyDescent="0.2">
      <c r="A94" s="6" t="s">
        <v>28</v>
      </c>
      <c r="B94" s="470" t="s">
        <v>94</v>
      </c>
      <c r="C94" s="471"/>
      <c r="D94" s="384"/>
    </row>
    <row r="95" spans="1:4" x14ac:dyDescent="0.2">
      <c r="A95" s="474" t="s">
        <v>29</v>
      </c>
      <c r="B95" s="474"/>
      <c r="C95" s="474"/>
      <c r="D95" s="9">
        <f>SUM(D87:D94)</f>
        <v>0</v>
      </c>
    </row>
    <row r="96" spans="1:4" x14ac:dyDescent="0.2">
      <c r="D96" s="15"/>
    </row>
    <row r="97" spans="1:4" x14ac:dyDescent="0.2">
      <c r="A97" s="13" t="s">
        <v>99</v>
      </c>
      <c r="B97" s="463" t="s">
        <v>92</v>
      </c>
      <c r="C97" s="465"/>
      <c r="D97" s="152" t="s">
        <v>24</v>
      </c>
    </row>
    <row r="98" spans="1:4" s="60" customFormat="1" x14ac:dyDescent="0.2">
      <c r="A98" s="34" t="s">
        <v>3</v>
      </c>
      <c r="B98" s="475" t="s">
        <v>96</v>
      </c>
      <c r="C98" s="476"/>
      <c r="D98" s="120">
        <f>+'Calculo 12 36 Not Des'!C220</f>
        <v>0</v>
      </c>
    </row>
    <row r="99" spans="1:4" s="60" customFormat="1" ht="25.5" customHeight="1" x14ac:dyDescent="0.2">
      <c r="A99" s="34" t="s">
        <v>4</v>
      </c>
      <c r="B99" s="490" t="s">
        <v>98</v>
      </c>
      <c r="C99" s="491"/>
      <c r="D99" s="384"/>
    </row>
    <row r="100" spans="1:4" s="60" customFormat="1" ht="27" customHeight="1" x14ac:dyDescent="0.2">
      <c r="A100" s="34" t="s">
        <v>5</v>
      </c>
      <c r="B100" s="490" t="s">
        <v>97</v>
      </c>
      <c r="C100" s="491"/>
      <c r="D100" s="384"/>
    </row>
    <row r="101" spans="1:4" x14ac:dyDescent="0.2">
      <c r="A101" s="6" t="s">
        <v>6</v>
      </c>
      <c r="B101" s="470" t="s">
        <v>36</v>
      </c>
      <c r="C101" s="471"/>
      <c r="D101" s="8"/>
    </row>
    <row r="102" spans="1:4" x14ac:dyDescent="0.2">
      <c r="A102" s="474" t="s">
        <v>29</v>
      </c>
      <c r="B102" s="474"/>
      <c r="C102" s="474"/>
      <c r="D102" s="9">
        <f>SUM(D98:D101)</f>
        <v>0</v>
      </c>
    </row>
    <row r="103" spans="1:4" x14ac:dyDescent="0.2">
      <c r="D103" s="15"/>
    </row>
    <row r="104" spans="1:4" x14ac:dyDescent="0.2">
      <c r="A104" s="13" t="s">
        <v>91</v>
      </c>
      <c r="B104" s="474" t="s">
        <v>100</v>
      </c>
      <c r="C104" s="474"/>
      <c r="D104" s="152" t="s">
        <v>24</v>
      </c>
    </row>
    <row r="105" spans="1:4" s="50" customFormat="1" ht="30" customHeight="1" x14ac:dyDescent="0.2">
      <c r="A105" s="108" t="s">
        <v>3</v>
      </c>
      <c r="B105" s="492" t="s">
        <v>288</v>
      </c>
      <c r="C105" s="492"/>
      <c r="D105" s="49">
        <f>+'Calculo 12 36 Not Des'!C209</f>
        <v>0</v>
      </c>
    </row>
    <row r="106" spans="1:4" x14ac:dyDescent="0.2">
      <c r="A106" s="474" t="s">
        <v>29</v>
      </c>
      <c r="B106" s="474"/>
      <c r="C106" s="474"/>
      <c r="D106" s="9">
        <f>SUM(D105:D105)</f>
        <v>0</v>
      </c>
    </row>
    <row r="108" spans="1:4" x14ac:dyDescent="0.2">
      <c r="A108" s="157" t="s">
        <v>109</v>
      </c>
      <c r="B108" s="157"/>
      <c r="C108" s="157"/>
      <c r="D108" s="157"/>
    </row>
    <row r="109" spans="1:4" x14ac:dyDescent="0.2">
      <c r="A109" s="6" t="s">
        <v>85</v>
      </c>
      <c r="B109" s="470" t="s">
        <v>86</v>
      </c>
      <c r="C109" s="471"/>
      <c r="D109" s="18">
        <f>+D95</f>
        <v>0</v>
      </c>
    </row>
    <row r="110" spans="1:4" x14ac:dyDescent="0.2">
      <c r="A110" s="6" t="s">
        <v>99</v>
      </c>
      <c r="B110" s="470" t="s">
        <v>92</v>
      </c>
      <c r="C110" s="471"/>
      <c r="D110" s="18">
        <f>+D102</f>
        <v>0</v>
      </c>
    </row>
    <row r="111" spans="1:4" x14ac:dyDescent="0.2">
      <c r="A111" s="74"/>
      <c r="B111" s="472" t="s">
        <v>110</v>
      </c>
      <c r="C111" s="473"/>
      <c r="D111" s="73">
        <f>+D110+D109</f>
        <v>0</v>
      </c>
    </row>
    <row r="112" spans="1:4" x14ac:dyDescent="0.2">
      <c r="A112" s="6" t="s">
        <v>91</v>
      </c>
      <c r="B112" s="470" t="s">
        <v>100</v>
      </c>
      <c r="C112" s="471"/>
      <c r="D112" s="18">
        <f>+D106</f>
        <v>0</v>
      </c>
    </row>
    <row r="113" spans="1:4" x14ac:dyDescent="0.2">
      <c r="A113" s="494" t="s">
        <v>29</v>
      </c>
      <c r="B113" s="494"/>
      <c r="C113" s="494"/>
      <c r="D113" s="71">
        <f>+D112+D111</f>
        <v>0</v>
      </c>
    </row>
    <row r="115" spans="1:4" x14ac:dyDescent="0.2">
      <c r="A115" s="455" t="s">
        <v>151</v>
      </c>
      <c r="B115" s="455"/>
      <c r="C115" s="455"/>
      <c r="D115" s="455"/>
    </row>
    <row r="117" spans="1:4" x14ac:dyDescent="0.2">
      <c r="A117" s="13">
        <v>5</v>
      </c>
      <c r="B117" s="463" t="s">
        <v>152</v>
      </c>
      <c r="C117" s="465"/>
      <c r="D117" s="152" t="s">
        <v>24</v>
      </c>
    </row>
    <row r="118" spans="1:4" x14ac:dyDescent="0.2">
      <c r="A118" s="6" t="s">
        <v>3</v>
      </c>
      <c r="B118" s="388" t="s">
        <v>153</v>
      </c>
      <c r="C118" s="388"/>
      <c r="D118" s="8">
        <f>+Uniforme!G106</f>
        <v>0</v>
      </c>
    </row>
    <row r="119" spans="1:4" x14ac:dyDescent="0.2">
      <c r="A119" s="6" t="s">
        <v>177</v>
      </c>
      <c r="B119" s="34" t="s">
        <v>178</v>
      </c>
      <c r="C119" s="29">
        <f>+$C$137+$C$138</f>
        <v>3.6499999999999998E-2</v>
      </c>
      <c r="D119" s="77">
        <f>+(C119*D118)*-1</f>
        <v>0</v>
      </c>
    </row>
    <row r="120" spans="1:4" x14ac:dyDescent="0.2">
      <c r="A120" s="6" t="s">
        <v>4</v>
      </c>
      <c r="B120" s="388" t="s">
        <v>154</v>
      </c>
      <c r="C120" s="388"/>
      <c r="D120" s="8"/>
    </row>
    <row r="121" spans="1:4" x14ac:dyDescent="0.2">
      <c r="A121" s="6" t="s">
        <v>41</v>
      </c>
      <c r="B121" s="34" t="s">
        <v>178</v>
      </c>
      <c r="C121" s="29">
        <f>+$C$137+$C$138</f>
        <v>3.6499999999999998E-2</v>
      </c>
      <c r="D121" s="77">
        <f>+(C121*D120)*-1</f>
        <v>0</v>
      </c>
    </row>
    <row r="122" spans="1:4" x14ac:dyDescent="0.2">
      <c r="A122" s="6" t="s">
        <v>5</v>
      </c>
      <c r="B122" s="388" t="s">
        <v>155</v>
      </c>
      <c r="C122" s="388"/>
      <c r="D122" s="8">
        <f>+Uniforme!F114</f>
        <v>0</v>
      </c>
    </row>
    <row r="123" spans="1:4" x14ac:dyDescent="0.2">
      <c r="A123" s="6" t="s">
        <v>161</v>
      </c>
      <c r="B123" s="34" t="s">
        <v>178</v>
      </c>
      <c r="C123" s="29">
        <f>+$C$137+$C$138</f>
        <v>3.6499999999999998E-2</v>
      </c>
      <c r="D123" s="77">
        <f>+(C123*D122)*-1</f>
        <v>0</v>
      </c>
    </row>
    <row r="124" spans="1:4" x14ac:dyDescent="0.2">
      <c r="A124" s="6" t="s">
        <v>6</v>
      </c>
      <c r="B124" s="388" t="s">
        <v>36</v>
      </c>
      <c r="C124" s="388"/>
      <c r="D124" s="8"/>
    </row>
    <row r="125" spans="1:4" x14ac:dyDescent="0.2">
      <c r="A125" s="6" t="s">
        <v>179</v>
      </c>
      <c r="B125" s="34" t="s">
        <v>178</v>
      </c>
      <c r="C125" s="29">
        <f>+$C$137+$C$138</f>
        <v>3.6499999999999998E-2</v>
      </c>
      <c r="D125" s="77">
        <f>+(C125*D124)*-1</f>
        <v>0</v>
      </c>
    </row>
    <row r="126" spans="1:4" x14ac:dyDescent="0.2">
      <c r="A126" s="474" t="s">
        <v>29</v>
      </c>
      <c r="B126" s="474"/>
      <c r="C126" s="474"/>
      <c r="D126" s="9">
        <f>SUM(D118:D124)</f>
        <v>0</v>
      </c>
    </row>
    <row r="128" spans="1:4" x14ac:dyDescent="0.2">
      <c r="A128" s="455" t="s">
        <v>156</v>
      </c>
      <c r="B128" s="455"/>
      <c r="C128" s="455"/>
      <c r="D128" s="455"/>
    </row>
    <row r="130" spans="1:4" x14ac:dyDescent="0.2">
      <c r="A130" s="13">
        <v>6</v>
      </c>
      <c r="B130" s="14" t="s">
        <v>157</v>
      </c>
      <c r="C130" s="156" t="s">
        <v>50</v>
      </c>
      <c r="D130" s="152" t="s">
        <v>24</v>
      </c>
    </row>
    <row r="131" spans="1:4" x14ac:dyDescent="0.2">
      <c r="A131" s="116" t="s">
        <v>3</v>
      </c>
      <c r="B131" s="116" t="s">
        <v>158</v>
      </c>
      <c r="C131" s="114">
        <v>0.03</v>
      </c>
      <c r="D131" s="377">
        <f>($D$126+$D$113+$D$81+$D$70+$D$25)*C131</f>
        <v>0</v>
      </c>
    </row>
    <row r="132" spans="1:4" x14ac:dyDescent="0.2">
      <c r="A132" s="116" t="s">
        <v>4</v>
      </c>
      <c r="B132" s="116" t="s">
        <v>159</v>
      </c>
      <c r="C132" s="114">
        <v>0.03</v>
      </c>
      <c r="D132" s="377">
        <f>($D$126+$D$113+$D$81+$D$70+$D$25+D131)*C132</f>
        <v>0</v>
      </c>
    </row>
    <row r="133" spans="1:4" s="79" customFormat="1" x14ac:dyDescent="0.2">
      <c r="A133" s="495" t="s">
        <v>181</v>
      </c>
      <c r="B133" s="496"/>
      <c r="C133" s="497"/>
      <c r="D133" s="81">
        <f>++D132+D131+D126+D113+D81+D70+D25</f>
        <v>0</v>
      </c>
    </row>
    <row r="134" spans="1:4" s="79" customFormat="1" x14ac:dyDescent="0.2">
      <c r="A134" s="498" t="s">
        <v>182</v>
      </c>
      <c r="B134" s="499"/>
      <c r="C134" s="500"/>
      <c r="D134" s="81">
        <f>ROUND(D133/(1-(C137+C138+C140+C142+C143)),2)</f>
        <v>0</v>
      </c>
    </row>
    <row r="135" spans="1:4" x14ac:dyDescent="0.2">
      <c r="A135" s="6" t="s">
        <v>5</v>
      </c>
      <c r="B135" s="6" t="s">
        <v>160</v>
      </c>
      <c r="C135" s="17"/>
      <c r="D135" s="6"/>
    </row>
    <row r="136" spans="1:4" x14ac:dyDescent="0.2">
      <c r="A136" s="6" t="s">
        <v>161</v>
      </c>
      <c r="B136" s="6" t="s">
        <v>162</v>
      </c>
      <c r="C136" s="17"/>
      <c r="D136" s="6"/>
    </row>
    <row r="137" spans="1:4" x14ac:dyDescent="0.2">
      <c r="A137" s="116" t="s">
        <v>163</v>
      </c>
      <c r="B137" s="116" t="s">
        <v>165</v>
      </c>
      <c r="C137" s="114">
        <v>6.4999999999999997E-3</v>
      </c>
      <c r="D137" s="377">
        <f>ROUND(C137*$D$134,2)</f>
        <v>0</v>
      </c>
    </row>
    <row r="138" spans="1:4" x14ac:dyDescent="0.2">
      <c r="A138" s="116" t="s">
        <v>164</v>
      </c>
      <c r="B138" s="116" t="s">
        <v>166</v>
      </c>
      <c r="C138" s="114">
        <v>0.03</v>
      </c>
      <c r="D138" s="377">
        <f>ROUND(C138*$D$134,2)</f>
        <v>0</v>
      </c>
    </row>
    <row r="139" spans="1:4" x14ac:dyDescent="0.2">
      <c r="A139" s="6" t="s">
        <v>167</v>
      </c>
      <c r="B139" s="6" t="s">
        <v>168</v>
      </c>
      <c r="C139" s="17"/>
      <c r="D139" s="18"/>
    </row>
    <row r="140" spans="1:4" x14ac:dyDescent="0.2">
      <c r="A140" s="6" t="s">
        <v>170</v>
      </c>
      <c r="B140" s="6" t="s">
        <v>169</v>
      </c>
      <c r="C140" s="17"/>
      <c r="D140" s="6"/>
    </row>
    <row r="141" spans="1:4" x14ac:dyDescent="0.2">
      <c r="A141" s="6" t="s">
        <v>171</v>
      </c>
      <c r="B141" s="6" t="s">
        <v>172</v>
      </c>
      <c r="C141" s="17"/>
      <c r="D141" s="6"/>
    </row>
    <row r="142" spans="1:4" x14ac:dyDescent="0.2">
      <c r="A142" s="116" t="s">
        <v>173</v>
      </c>
      <c r="B142" s="116" t="s">
        <v>174</v>
      </c>
      <c r="C142" s="114">
        <v>0.05</v>
      </c>
      <c r="D142" s="377">
        <f>ROUND(C142*$D$134,2)</f>
        <v>0</v>
      </c>
    </row>
    <row r="143" spans="1:4" x14ac:dyDescent="0.2">
      <c r="A143" s="6" t="s">
        <v>175</v>
      </c>
      <c r="B143" s="6" t="s">
        <v>176</v>
      </c>
      <c r="C143" s="17"/>
      <c r="D143" s="6"/>
    </row>
    <row r="144" spans="1:4" x14ac:dyDescent="0.2">
      <c r="A144" s="463" t="s">
        <v>29</v>
      </c>
      <c r="B144" s="464"/>
      <c r="C144" s="80">
        <f>+C143+C142+C140+C138+C137+C132+C131</f>
        <v>0.14650000000000002</v>
      </c>
      <c r="D144" s="9">
        <f>+D142+D140+D138+D137+D132+D131</f>
        <v>0</v>
      </c>
    </row>
    <row r="146" spans="1:4" x14ac:dyDescent="0.2">
      <c r="A146" s="501" t="s">
        <v>183</v>
      </c>
      <c r="B146" s="501"/>
      <c r="C146" s="501"/>
      <c r="D146" s="501"/>
    </row>
    <row r="147" spans="1:4" x14ac:dyDescent="0.2">
      <c r="A147" s="6" t="s">
        <v>3</v>
      </c>
      <c r="B147" s="456" t="s">
        <v>185</v>
      </c>
      <c r="C147" s="456"/>
      <c r="D147" s="8">
        <f>+D25</f>
        <v>0</v>
      </c>
    </row>
    <row r="148" spans="1:4" x14ac:dyDescent="0.2">
      <c r="A148" s="6" t="s">
        <v>184</v>
      </c>
      <c r="B148" s="456" t="s">
        <v>186</v>
      </c>
      <c r="C148" s="456"/>
      <c r="D148" s="8">
        <f>+D70</f>
        <v>0</v>
      </c>
    </row>
    <row r="149" spans="1:4" x14ac:dyDescent="0.2">
      <c r="A149" s="6" t="s">
        <v>5</v>
      </c>
      <c r="B149" s="456" t="s">
        <v>187</v>
      </c>
      <c r="C149" s="456"/>
      <c r="D149" s="8">
        <f>+D81</f>
        <v>0</v>
      </c>
    </row>
    <row r="150" spans="1:4" x14ac:dyDescent="0.2">
      <c r="A150" s="6" t="s">
        <v>6</v>
      </c>
      <c r="B150" s="456" t="s">
        <v>188</v>
      </c>
      <c r="C150" s="456"/>
      <c r="D150" s="8">
        <f>+D113</f>
        <v>0</v>
      </c>
    </row>
    <row r="151" spans="1:4" x14ac:dyDescent="0.2">
      <c r="A151" s="6" t="s">
        <v>25</v>
      </c>
      <c r="B151" s="456" t="s">
        <v>189</v>
      </c>
      <c r="C151" s="456"/>
      <c r="D151" s="8">
        <f>+D126</f>
        <v>0</v>
      </c>
    </row>
    <row r="152" spans="1:4" x14ac:dyDescent="0.2">
      <c r="B152" s="457" t="s">
        <v>192</v>
      </c>
      <c r="C152" s="457"/>
      <c r="D152" s="72">
        <f>SUM(D147:D151)</f>
        <v>0</v>
      </c>
    </row>
    <row r="153" spans="1:4" x14ac:dyDescent="0.2">
      <c r="A153" s="6" t="s">
        <v>26</v>
      </c>
      <c r="B153" s="456" t="s">
        <v>190</v>
      </c>
      <c r="C153" s="456"/>
      <c r="D153" s="8">
        <f>+D144</f>
        <v>0</v>
      </c>
    </row>
    <row r="155" spans="1:4" x14ac:dyDescent="0.2">
      <c r="A155" s="493" t="s">
        <v>191</v>
      </c>
      <c r="B155" s="493"/>
      <c r="C155" s="493"/>
      <c r="D155" s="82">
        <f>ROUND(+D153+D152,2)</f>
        <v>0</v>
      </c>
    </row>
    <row r="157" spans="1:4" x14ac:dyDescent="0.2">
      <c r="A157" s="459" t="s">
        <v>77</v>
      </c>
      <c r="B157" s="459"/>
      <c r="C157" s="459"/>
      <c r="D157" s="459"/>
    </row>
    <row r="159" spans="1:4" x14ac:dyDescent="0.2">
      <c r="A159" s="6" t="s">
        <v>3</v>
      </c>
      <c r="B159" s="6" t="s">
        <v>46</v>
      </c>
      <c r="C159" s="44" t="e">
        <f>+C31</f>
        <v>#DIV/0!</v>
      </c>
      <c r="D159" s="8">
        <f>+D31</f>
        <v>0</v>
      </c>
    </row>
    <row r="160" spans="1:4" x14ac:dyDescent="0.2">
      <c r="A160" s="6" t="s">
        <v>4</v>
      </c>
      <c r="B160" s="6" t="s">
        <v>45</v>
      </c>
      <c r="C160" s="44" t="e">
        <f>+C33</f>
        <v>#DIV/0!</v>
      </c>
      <c r="D160" s="8">
        <f>+D33</f>
        <v>0</v>
      </c>
    </row>
    <row r="161" spans="1:5" x14ac:dyDescent="0.2">
      <c r="A161" s="6" t="s">
        <v>5</v>
      </c>
      <c r="B161" s="6" t="s">
        <v>44</v>
      </c>
      <c r="C161" s="44" t="e">
        <f>+C34</f>
        <v>#DIV/0!</v>
      </c>
      <c r="D161" s="8">
        <f>+D34</f>
        <v>0</v>
      </c>
    </row>
    <row r="162" spans="1:5" ht="25.5" x14ac:dyDescent="0.2">
      <c r="A162" s="6" t="s">
        <v>6</v>
      </c>
      <c r="B162" s="30" t="s">
        <v>75</v>
      </c>
      <c r="C162" s="17" t="e">
        <f>+C77</f>
        <v>#DIV/0!</v>
      </c>
      <c r="D162" s="8">
        <f>+D77</f>
        <v>0</v>
      </c>
    </row>
    <row r="163" spans="1:5" ht="25.5" x14ac:dyDescent="0.2">
      <c r="A163" s="6" t="s">
        <v>25</v>
      </c>
      <c r="B163" s="30" t="s">
        <v>76</v>
      </c>
      <c r="C163" s="44" t="e">
        <f>+C80</f>
        <v>#DIV/0!</v>
      </c>
      <c r="D163" s="18">
        <f>+D80</f>
        <v>0</v>
      </c>
    </row>
    <row r="164" spans="1:5" x14ac:dyDescent="0.2">
      <c r="A164" s="6" t="s">
        <v>81</v>
      </c>
      <c r="B164" s="34" t="s">
        <v>79</v>
      </c>
      <c r="C164" s="458" t="e">
        <f>+(D164+D165+D166)/D25</f>
        <v>#DIV/0!</v>
      </c>
      <c r="D164" s="8">
        <f>ROUND(D31*(SUM($C$39:$C$46)),2)</f>
        <v>0</v>
      </c>
    </row>
    <row r="165" spans="1:5" x14ac:dyDescent="0.2">
      <c r="A165" s="6" t="s">
        <v>82</v>
      </c>
      <c r="B165" s="34" t="s">
        <v>78</v>
      </c>
      <c r="C165" s="458"/>
      <c r="D165" s="8">
        <f>ROUND(D33*(SUM($C$39:$C$46)),2)</f>
        <v>0</v>
      </c>
    </row>
    <row r="166" spans="1:5" x14ac:dyDescent="0.2">
      <c r="A166" s="6" t="s">
        <v>83</v>
      </c>
      <c r="B166" s="34" t="s">
        <v>80</v>
      </c>
      <c r="C166" s="458"/>
      <c r="D166" s="8">
        <f>ROUND(D34*(SUM($C$39:$C$46)),2)</f>
        <v>0</v>
      </c>
    </row>
    <row r="167" spans="1:5" x14ac:dyDescent="0.2">
      <c r="A167" s="460" t="s">
        <v>29</v>
      </c>
      <c r="B167" s="461"/>
      <c r="C167" s="462"/>
      <c r="D167" s="45">
        <f>SUM(D159:D166)</f>
        <v>0</v>
      </c>
    </row>
    <row r="168" spans="1:5" x14ac:dyDescent="0.2">
      <c r="B168" s="96"/>
      <c r="C168" s="96"/>
      <c r="D168" s="96"/>
    </row>
    <row r="169" spans="1:5" x14ac:dyDescent="0.2">
      <c r="A169" s="97"/>
      <c r="B169" s="97"/>
      <c r="C169" s="97"/>
      <c r="D169" s="97"/>
      <c r="E169" s="97"/>
    </row>
    <row r="170" spans="1:5" s="67" customFormat="1" ht="41.25" customHeight="1" x14ac:dyDescent="0.2">
      <c r="A170" s="452" t="s">
        <v>289</v>
      </c>
      <c r="B170" s="452"/>
      <c r="C170" s="452"/>
      <c r="D170" s="452"/>
      <c r="E170" s="128"/>
    </row>
    <row r="171" spans="1:5" x14ac:dyDescent="0.2">
      <c r="A171" s="97"/>
      <c r="B171" s="97"/>
      <c r="C171" s="97"/>
      <c r="D171" s="97"/>
      <c r="E171" s="97"/>
    </row>
    <row r="172" spans="1:5" ht="42.75" customHeight="1" x14ac:dyDescent="0.2">
      <c r="A172" s="453" t="s">
        <v>290</v>
      </c>
      <c r="B172" s="453"/>
      <c r="C172" s="453"/>
      <c r="D172" s="453"/>
      <c r="E172" s="97"/>
    </row>
    <row r="173" spans="1:5" x14ac:dyDescent="0.2">
      <c r="A173" s="97"/>
      <c r="B173" s="97"/>
      <c r="C173" s="97"/>
      <c r="D173" s="97"/>
      <c r="E173" s="97"/>
    </row>
    <row r="174" spans="1:5" x14ac:dyDescent="0.2">
      <c r="A174" s="97"/>
      <c r="B174" s="97"/>
      <c r="C174" s="97"/>
      <c r="D174" s="97"/>
      <c r="E174" s="97"/>
    </row>
    <row r="175" spans="1:5" x14ac:dyDescent="0.2">
      <c r="A175" s="97"/>
      <c r="B175" s="97"/>
      <c r="C175" s="97"/>
      <c r="D175" s="97"/>
      <c r="E175" s="97"/>
    </row>
    <row r="176" spans="1:5" x14ac:dyDescent="0.2">
      <c r="A176" s="97"/>
      <c r="B176" s="97"/>
      <c r="C176" s="97"/>
      <c r="D176" s="97"/>
      <c r="E176" s="97"/>
    </row>
    <row r="177" spans="1:5" x14ac:dyDescent="0.2">
      <c r="A177" s="97"/>
      <c r="B177" s="97"/>
      <c r="C177" s="97"/>
      <c r="D177" s="97"/>
      <c r="E177" s="97"/>
    </row>
    <row r="178" spans="1:5" x14ac:dyDescent="0.2">
      <c r="A178" s="97"/>
      <c r="B178" s="97"/>
      <c r="C178" s="97"/>
      <c r="D178" s="97"/>
      <c r="E178" s="97"/>
    </row>
    <row r="179" spans="1:5" x14ac:dyDescent="0.2">
      <c r="A179" s="97"/>
      <c r="B179" s="97"/>
      <c r="C179" s="97"/>
      <c r="D179" s="97"/>
      <c r="E179" s="97"/>
    </row>
    <row r="180" spans="1:5" x14ac:dyDescent="0.2">
      <c r="A180" s="97"/>
      <c r="B180" s="97"/>
      <c r="C180" s="97"/>
      <c r="D180" s="97"/>
      <c r="E180" s="97"/>
    </row>
    <row r="181" spans="1:5" x14ac:dyDescent="0.2">
      <c r="A181" s="97"/>
      <c r="B181" s="97"/>
      <c r="C181" s="97"/>
      <c r="D181" s="97"/>
      <c r="E181" s="97"/>
    </row>
    <row r="182" spans="1:5" x14ac:dyDescent="0.2">
      <c r="A182" s="97"/>
      <c r="B182" s="97"/>
      <c r="C182" s="97"/>
      <c r="D182" s="97"/>
      <c r="E182" s="97"/>
    </row>
    <row r="183" spans="1:5" x14ac:dyDescent="0.2">
      <c r="A183" s="97"/>
      <c r="B183" s="97"/>
      <c r="C183" s="97"/>
      <c r="D183" s="97"/>
      <c r="E183" s="97"/>
    </row>
    <row r="184" spans="1:5" x14ac:dyDescent="0.2">
      <c r="A184" s="97"/>
      <c r="B184" s="97"/>
      <c r="C184" s="97"/>
      <c r="D184" s="97"/>
      <c r="E184" s="97"/>
    </row>
    <row r="185" spans="1:5" x14ac:dyDescent="0.2">
      <c r="A185" s="97"/>
      <c r="B185" s="97"/>
      <c r="C185" s="97"/>
      <c r="D185" s="97"/>
      <c r="E185" s="97"/>
    </row>
    <row r="186" spans="1:5" x14ac:dyDescent="0.2">
      <c r="A186" s="97"/>
      <c r="B186" s="97"/>
      <c r="C186" s="97"/>
      <c r="D186" s="97"/>
      <c r="E186" s="97"/>
    </row>
    <row r="187" spans="1:5" x14ac:dyDescent="0.2">
      <c r="A187" s="97"/>
      <c r="B187" s="97"/>
      <c r="C187" s="97"/>
      <c r="D187" s="97"/>
      <c r="E187" s="97"/>
    </row>
  </sheetData>
  <mergeCells count="83">
    <mergeCell ref="B19:C19"/>
    <mergeCell ref="A1:D1"/>
    <mergeCell ref="A5:D5"/>
    <mergeCell ref="C6:D6"/>
    <mergeCell ref="C7:D7"/>
    <mergeCell ref="C8:D8"/>
    <mergeCell ref="C9:D9"/>
    <mergeCell ref="C10:D10"/>
    <mergeCell ref="A12:D12"/>
    <mergeCell ref="B14:C14"/>
    <mergeCell ref="B17:C17"/>
    <mergeCell ref="B18:C18"/>
    <mergeCell ref="A63:B63"/>
    <mergeCell ref="B20:C20"/>
    <mergeCell ref="B21:C21"/>
    <mergeCell ref="B23:C23"/>
    <mergeCell ref="B24:C24"/>
    <mergeCell ref="A25:C25"/>
    <mergeCell ref="A27:D27"/>
    <mergeCell ref="A29:D29"/>
    <mergeCell ref="A35:C35"/>
    <mergeCell ref="A37:D37"/>
    <mergeCell ref="A49:D49"/>
    <mergeCell ref="B61:C61"/>
    <mergeCell ref="B87:C87"/>
    <mergeCell ref="A65:D65"/>
    <mergeCell ref="B66:C66"/>
    <mergeCell ref="B67:C67"/>
    <mergeCell ref="B68:C68"/>
    <mergeCell ref="B69:C69"/>
    <mergeCell ref="A70:C70"/>
    <mergeCell ref="A72:D72"/>
    <mergeCell ref="A81:C81"/>
    <mergeCell ref="A83:D83"/>
    <mergeCell ref="A85:D85"/>
    <mergeCell ref="B86:C86"/>
    <mergeCell ref="B100:C100"/>
    <mergeCell ref="B88:C88"/>
    <mergeCell ref="B89:C89"/>
    <mergeCell ref="B90:C90"/>
    <mergeCell ref="B91:C91"/>
    <mergeCell ref="B92:C92"/>
    <mergeCell ref="B93:C93"/>
    <mergeCell ref="B94:C94"/>
    <mergeCell ref="A95:C95"/>
    <mergeCell ref="B97:C97"/>
    <mergeCell ref="B98:C98"/>
    <mergeCell ref="B99:C99"/>
    <mergeCell ref="B117:C117"/>
    <mergeCell ref="B101:C101"/>
    <mergeCell ref="A102:C102"/>
    <mergeCell ref="B104:C104"/>
    <mergeCell ref="B105:C105"/>
    <mergeCell ref="A106:C106"/>
    <mergeCell ref="B109:C109"/>
    <mergeCell ref="B110:C110"/>
    <mergeCell ref="B111:C111"/>
    <mergeCell ref="B112:C112"/>
    <mergeCell ref="A113:C113"/>
    <mergeCell ref="A115:D115"/>
    <mergeCell ref="B148:C148"/>
    <mergeCell ref="B118:C118"/>
    <mergeCell ref="B120:C120"/>
    <mergeCell ref="B122:C122"/>
    <mergeCell ref="B124:C124"/>
    <mergeCell ref="A126:C126"/>
    <mergeCell ref="A128:D128"/>
    <mergeCell ref="A133:C133"/>
    <mergeCell ref="A134:C134"/>
    <mergeCell ref="A144:B144"/>
    <mergeCell ref="A146:D146"/>
    <mergeCell ref="B147:C147"/>
    <mergeCell ref="B149:C149"/>
    <mergeCell ref="B150:C150"/>
    <mergeCell ref="B151:C151"/>
    <mergeCell ref="B152:C152"/>
    <mergeCell ref="B153:C153"/>
    <mergeCell ref="A172:D172"/>
    <mergeCell ref="A155:C155"/>
    <mergeCell ref="A157:D157"/>
    <mergeCell ref="C164:C166"/>
    <mergeCell ref="A167:C167"/>
    <mergeCell ref="A170:D170"/>
  </mergeCells>
  <pageMargins left="1.04" right="0.16" top="0.39" bottom="0.52" header="0.31496062992125984" footer="0.31496062992125984"/>
  <pageSetup paperSize="9" scale="90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theme="9" tint="0.39997558519241921"/>
  </sheetPr>
  <dimension ref="A1:D230"/>
  <sheetViews>
    <sheetView workbookViewId="0">
      <selection activeCell="C3" sqref="C3"/>
    </sheetView>
  </sheetViews>
  <sheetFormatPr defaultRowHeight="12.75" x14ac:dyDescent="0.2"/>
  <cols>
    <col min="1" max="1" width="64.5" customWidth="1"/>
    <col min="2" max="2" width="12.25" bestFit="1" customWidth="1"/>
    <col min="3" max="3" width="11.875" bestFit="1" customWidth="1"/>
    <col min="4" max="4" width="9.375" bestFit="1" customWidth="1"/>
    <col min="5" max="5" width="69.125" customWidth="1"/>
  </cols>
  <sheetData>
    <row r="1" spans="1:3" ht="16.5" x14ac:dyDescent="0.25">
      <c r="A1" s="542" t="s">
        <v>335</v>
      </c>
      <c r="B1" s="542"/>
      <c r="C1" s="542"/>
    </row>
    <row r="3" spans="1:3" x14ac:dyDescent="0.2">
      <c r="A3" s="6" t="s">
        <v>102</v>
      </c>
      <c r="B3" s="6">
        <v>220</v>
      </c>
    </row>
    <row r="4" spans="1:3" x14ac:dyDescent="0.2">
      <c r="A4" s="6" t="s">
        <v>228</v>
      </c>
      <c r="B4" s="6">
        <v>365.25</v>
      </c>
    </row>
    <row r="5" spans="1:3" x14ac:dyDescent="0.2">
      <c r="A5" s="6" t="s">
        <v>230</v>
      </c>
      <c r="B5" s="51">
        <f>(365.25/12/2)/(7/7)</f>
        <v>15.21875</v>
      </c>
    </row>
    <row r="6" spans="1:3" x14ac:dyDescent="0.2">
      <c r="A6" s="34" t="s">
        <v>30</v>
      </c>
      <c r="B6" s="18">
        <f>+'Vigilante 12X36 Noturno Des'!D14</f>
        <v>0</v>
      </c>
    </row>
    <row r="7" spans="1:3" x14ac:dyDescent="0.2">
      <c r="A7" s="34" t="s">
        <v>241</v>
      </c>
      <c r="B7" s="18">
        <f>+'Vigilante 12X36 Noturno Des'!D25</f>
        <v>0</v>
      </c>
    </row>
    <row r="9" spans="1:3" x14ac:dyDescent="0.2">
      <c r="A9" s="503" t="s">
        <v>209</v>
      </c>
      <c r="B9" s="503"/>
      <c r="C9" s="503"/>
    </row>
    <row r="10" spans="1:3" x14ac:dyDescent="0.2">
      <c r="A10" s="6" t="s">
        <v>30</v>
      </c>
      <c r="B10" s="52"/>
      <c r="C10" s="90">
        <f>+'Vigilante 12X36 Noturno Des'!D14</f>
        <v>0</v>
      </c>
    </row>
    <row r="11" spans="1:3" x14ac:dyDescent="0.2">
      <c r="A11" s="6" t="s">
        <v>31</v>
      </c>
      <c r="B11" s="52"/>
      <c r="C11" s="90">
        <f>+'Vigilante 12X36 Noturno Des'!D15</f>
        <v>0</v>
      </c>
    </row>
    <row r="12" spans="1:3" x14ac:dyDescent="0.2">
      <c r="A12" s="6" t="s">
        <v>32</v>
      </c>
      <c r="B12" s="52"/>
      <c r="C12" s="90">
        <f>+'Vigilante 12X36 Noturno Des'!D16</f>
        <v>0</v>
      </c>
    </row>
    <row r="13" spans="1:3" x14ac:dyDescent="0.2">
      <c r="A13" s="6" t="s">
        <v>33</v>
      </c>
      <c r="B13" s="52"/>
      <c r="C13" s="90">
        <f>+'Vigilante 12X36 Noturno Des'!D17</f>
        <v>0</v>
      </c>
    </row>
    <row r="14" spans="1:3" x14ac:dyDescent="0.2">
      <c r="A14" s="6" t="s">
        <v>34</v>
      </c>
      <c r="B14" s="52"/>
      <c r="C14" s="90">
        <f>+'Vigilante 12X36 Noturno Des'!D18</f>
        <v>0</v>
      </c>
    </row>
    <row r="15" spans="1:3" x14ac:dyDescent="0.2">
      <c r="A15" t="s">
        <v>65</v>
      </c>
      <c r="B15" s="52"/>
      <c r="C15" s="90">
        <f>+'Vigilante 12X36 Noturno Des'!D22</f>
        <v>0</v>
      </c>
    </row>
    <row r="16" spans="1:3" x14ac:dyDescent="0.2">
      <c r="A16" s="35" t="s">
        <v>193</v>
      </c>
      <c r="B16" s="101"/>
      <c r="C16" s="102">
        <f>SUM(C10:C15)</f>
        <v>0</v>
      </c>
    </row>
    <row r="17" spans="1:3" x14ac:dyDescent="0.2">
      <c r="A17" s="6" t="s">
        <v>102</v>
      </c>
      <c r="B17" s="57">
        <f>+B3</f>
        <v>220</v>
      </c>
      <c r="C17" s="54"/>
    </row>
    <row r="18" spans="1:3" x14ac:dyDescent="0.2">
      <c r="A18" s="35" t="s">
        <v>103</v>
      </c>
      <c r="B18" s="101"/>
      <c r="C18" s="36">
        <f>+C16/B17</f>
        <v>0</v>
      </c>
    </row>
    <row r="19" spans="1:3" x14ac:dyDescent="0.2">
      <c r="A19" s="6" t="s">
        <v>197</v>
      </c>
      <c r="B19" s="6">
        <v>16</v>
      </c>
      <c r="C19" s="54"/>
    </row>
    <row r="20" spans="1:3" x14ac:dyDescent="0.2">
      <c r="A20" s="6" t="s">
        <v>198</v>
      </c>
      <c r="B20" s="6">
        <v>12</v>
      </c>
      <c r="C20" s="54"/>
    </row>
    <row r="21" spans="1:3" x14ac:dyDescent="0.2">
      <c r="A21" s="6" t="s">
        <v>199</v>
      </c>
      <c r="B21" s="6">
        <f>+B20*B19</f>
        <v>192</v>
      </c>
      <c r="C21" s="8">
        <f>+B21*C18</f>
        <v>0</v>
      </c>
    </row>
    <row r="22" spans="1:3" x14ac:dyDescent="0.2">
      <c r="A22" s="6" t="s">
        <v>200</v>
      </c>
      <c r="B22" s="17">
        <v>0.5</v>
      </c>
      <c r="C22" s="8">
        <f>+B22*C21</f>
        <v>0</v>
      </c>
    </row>
    <row r="23" spans="1:3" x14ac:dyDescent="0.2">
      <c r="A23" s="6" t="s">
        <v>201</v>
      </c>
      <c r="B23" s="17">
        <v>1</v>
      </c>
      <c r="C23" s="8">
        <f>+B23*C22</f>
        <v>0</v>
      </c>
    </row>
    <row r="24" spans="1:3" x14ac:dyDescent="0.2">
      <c r="A24" s="6" t="s">
        <v>202</v>
      </c>
      <c r="B24" s="6">
        <v>12</v>
      </c>
      <c r="C24" s="91"/>
    </row>
    <row r="25" spans="1:3" x14ac:dyDescent="0.2">
      <c r="A25" s="504" t="s">
        <v>203</v>
      </c>
      <c r="B25" s="505"/>
      <c r="C25" s="45">
        <f>+C23/B24</f>
        <v>0</v>
      </c>
    </row>
    <row r="26" spans="1:3" x14ac:dyDescent="0.2">
      <c r="C26" s="15"/>
    </row>
    <row r="27" spans="1:3" x14ac:dyDescent="0.2">
      <c r="A27" s="503" t="s">
        <v>210</v>
      </c>
      <c r="B27" s="503"/>
      <c r="C27" s="503"/>
    </row>
    <row r="28" spans="1:3" x14ac:dyDescent="0.2">
      <c r="A28" s="6" t="s">
        <v>103</v>
      </c>
      <c r="B28" s="52"/>
      <c r="C28" s="90">
        <f>+C18</f>
        <v>0</v>
      </c>
    </row>
    <row r="29" spans="1:3" x14ac:dyDescent="0.2">
      <c r="A29" s="6" t="s">
        <v>199</v>
      </c>
      <c r="B29" s="6">
        <v>192</v>
      </c>
      <c r="C29" s="54"/>
    </row>
    <row r="30" spans="1:3" x14ac:dyDescent="0.2">
      <c r="A30" s="6" t="s">
        <v>204</v>
      </c>
      <c r="B30" s="6">
        <f>+$B$4</f>
        <v>365.25</v>
      </c>
      <c r="C30" s="54"/>
    </row>
    <row r="31" spans="1:3" x14ac:dyDescent="0.2">
      <c r="A31" s="6" t="s">
        <v>197</v>
      </c>
      <c r="B31" s="6">
        <v>16</v>
      </c>
      <c r="C31" s="54"/>
    </row>
    <row r="32" spans="1:3" x14ac:dyDescent="0.2">
      <c r="A32" s="6" t="s">
        <v>200</v>
      </c>
      <c r="B32" s="17">
        <v>0.5</v>
      </c>
      <c r="C32" s="54"/>
    </row>
    <row r="33" spans="1:3" x14ac:dyDescent="0.2">
      <c r="A33" s="6" t="s">
        <v>205</v>
      </c>
      <c r="B33" s="92">
        <f>ROUND(((B30/7)*6)-B31,2)</f>
        <v>297.07</v>
      </c>
      <c r="C33" s="54"/>
    </row>
    <row r="34" spans="1:3" x14ac:dyDescent="0.2">
      <c r="A34" s="6" t="s">
        <v>206</v>
      </c>
      <c r="B34" s="34">
        <v>12</v>
      </c>
      <c r="C34" s="54"/>
    </row>
    <row r="35" spans="1:3" ht="25.5" x14ac:dyDescent="0.2">
      <c r="A35" s="30" t="s">
        <v>207</v>
      </c>
      <c r="B35" s="6">
        <f>+((B29/B34)*B32)/B33</f>
        <v>2.6929679873430507E-2</v>
      </c>
      <c r="C35" s="54"/>
    </row>
    <row r="36" spans="1:3" x14ac:dyDescent="0.2">
      <c r="A36" s="24" t="s">
        <v>208</v>
      </c>
      <c r="B36" s="24"/>
      <c r="C36" s="45">
        <f>+C28*(B30-B33)*B35</f>
        <v>0</v>
      </c>
    </row>
    <row r="37" spans="1:3" x14ac:dyDescent="0.2">
      <c r="C37" s="15"/>
    </row>
    <row r="38" spans="1:3" x14ac:dyDescent="0.2">
      <c r="A38" s="459" t="s">
        <v>107</v>
      </c>
      <c r="B38" s="459"/>
      <c r="C38" s="459"/>
    </row>
    <row r="39" spans="1:3" x14ac:dyDescent="0.2">
      <c r="A39" s="55" t="s">
        <v>30</v>
      </c>
      <c r="B39" s="86"/>
      <c r="C39" s="56">
        <f>+'Vigilante 12X36 Noturno Des'!D14</f>
        <v>0</v>
      </c>
    </row>
    <row r="40" spans="1:3" x14ac:dyDescent="0.2">
      <c r="A40" s="55" t="s">
        <v>31</v>
      </c>
      <c r="B40" s="58"/>
      <c r="C40" s="56">
        <f>+'Vigilante 12X36 Noturno Des'!D15</f>
        <v>0</v>
      </c>
    </row>
    <row r="41" spans="1:3" x14ac:dyDescent="0.2">
      <c r="A41" s="55" t="s">
        <v>32</v>
      </c>
      <c r="B41" s="58"/>
      <c r="C41" s="56">
        <f>+'Vigilante 12X36 Noturno Des'!D16</f>
        <v>0</v>
      </c>
    </row>
    <row r="42" spans="1:3" x14ac:dyDescent="0.2">
      <c r="A42" s="55" t="s">
        <v>33</v>
      </c>
      <c r="B42" s="58"/>
      <c r="C42" s="56">
        <f>+'Vigilante 12X36 Noturno Des'!D17</f>
        <v>0</v>
      </c>
    </row>
    <row r="43" spans="1:3" x14ac:dyDescent="0.2">
      <c r="A43" s="55" t="s">
        <v>34</v>
      </c>
      <c r="B43" s="58"/>
      <c r="C43" s="56">
        <f>+'Vigilante 12X36 Noturno Des'!D18</f>
        <v>0</v>
      </c>
    </row>
    <row r="44" spans="1:3" x14ac:dyDescent="0.2">
      <c r="A44" s="55" t="s">
        <v>35</v>
      </c>
      <c r="B44" s="58"/>
      <c r="C44" s="56">
        <f>+'Vigilante 12X36 Noturno Des'!D20</f>
        <v>0</v>
      </c>
    </row>
    <row r="45" spans="1:3" x14ac:dyDescent="0.2">
      <c r="A45" s="55" t="s">
        <v>65</v>
      </c>
      <c r="B45" s="58"/>
      <c r="C45" s="56">
        <f>+'Vigilante 12X36 Noturno Des'!D22</f>
        <v>0</v>
      </c>
    </row>
    <row r="46" spans="1:3" x14ac:dyDescent="0.2">
      <c r="A46" s="35" t="s">
        <v>101</v>
      </c>
      <c r="B46" s="99"/>
      <c r="C46" s="100">
        <f>SUM(C39:C45)</f>
        <v>0</v>
      </c>
    </row>
    <row r="47" spans="1:3" x14ac:dyDescent="0.2">
      <c r="A47" s="6" t="s">
        <v>102</v>
      </c>
      <c r="B47" s="57">
        <f>+B3</f>
        <v>220</v>
      </c>
      <c r="C47" s="58"/>
    </row>
    <row r="48" spans="1:3" x14ac:dyDescent="0.2">
      <c r="A48" s="6" t="s">
        <v>103</v>
      </c>
      <c r="B48" s="58"/>
      <c r="C48" s="59">
        <f>ROUND(+C46/B47,2)</f>
        <v>0</v>
      </c>
    </row>
    <row r="49" spans="1:3" x14ac:dyDescent="0.2">
      <c r="A49" s="6" t="s">
        <v>229</v>
      </c>
      <c r="B49" s="51">
        <f>(365.25/12/2)/(7/7)</f>
        <v>15.21875</v>
      </c>
      <c r="C49" s="58"/>
    </row>
    <row r="50" spans="1:3" x14ac:dyDescent="0.2">
      <c r="A50" s="6" t="s">
        <v>105</v>
      </c>
      <c r="B50" s="17">
        <v>0.5</v>
      </c>
      <c r="C50" s="6"/>
    </row>
    <row r="51" spans="1:3" x14ac:dyDescent="0.2">
      <c r="A51" s="504" t="s">
        <v>106</v>
      </c>
      <c r="B51" s="505"/>
      <c r="C51" s="45">
        <f>ROUND((B49*C48)*(1+B50),2)</f>
        <v>0</v>
      </c>
    </row>
    <row r="53" spans="1:3" x14ac:dyDescent="0.2">
      <c r="A53" s="459" t="s">
        <v>212</v>
      </c>
      <c r="B53" s="459"/>
      <c r="C53" s="459"/>
    </row>
    <row r="54" spans="1:3" x14ac:dyDescent="0.2">
      <c r="A54" s="6" t="s">
        <v>204</v>
      </c>
      <c r="B54" s="6">
        <v>365.25</v>
      </c>
      <c r="C54" s="52"/>
    </row>
    <row r="55" spans="1:3" x14ac:dyDescent="0.2">
      <c r="A55" s="6" t="s">
        <v>206</v>
      </c>
      <c r="B55" s="34">
        <v>12</v>
      </c>
      <c r="C55" s="52"/>
    </row>
    <row r="56" spans="1:3" x14ac:dyDescent="0.2">
      <c r="A56" s="6" t="s">
        <v>213</v>
      </c>
      <c r="B56" s="17">
        <v>0.5</v>
      </c>
      <c r="C56" s="52"/>
    </row>
    <row r="57" spans="1:3" x14ac:dyDescent="0.2">
      <c r="A57" s="103" t="s">
        <v>404</v>
      </c>
      <c r="B57" s="34">
        <v>7</v>
      </c>
      <c r="C57" s="52"/>
    </row>
    <row r="58" spans="1:3" x14ac:dyDescent="0.2">
      <c r="A58" s="34" t="s">
        <v>214</v>
      </c>
      <c r="B58" s="52"/>
      <c r="C58" s="18">
        <f>+'Vigilante 12X36 Noturno Des'!$D$14</f>
        <v>0</v>
      </c>
    </row>
    <row r="59" spans="1:3" x14ac:dyDescent="0.2">
      <c r="A59" s="34" t="s">
        <v>31</v>
      </c>
      <c r="B59" s="52"/>
      <c r="C59" s="18">
        <f>+'Vigilante 12X36 Noturno Des'!$D$15</f>
        <v>0</v>
      </c>
    </row>
    <row r="60" spans="1:3" x14ac:dyDescent="0.2">
      <c r="A60" s="34" t="s">
        <v>32</v>
      </c>
      <c r="B60" s="52"/>
      <c r="C60" s="18">
        <f>+'Vigilante 12X36 Noturno Des'!$D$16</f>
        <v>0</v>
      </c>
    </row>
    <row r="61" spans="1:3" x14ac:dyDescent="0.2">
      <c r="A61" s="104" t="s">
        <v>193</v>
      </c>
      <c r="B61" s="52"/>
      <c r="C61" s="105">
        <f>SUM(C58:C60)</f>
        <v>0</v>
      </c>
    </row>
    <row r="62" spans="1:3" x14ac:dyDescent="0.2">
      <c r="A62" s="6" t="s">
        <v>102</v>
      </c>
      <c r="B62" s="106">
        <f>+B3</f>
        <v>220</v>
      </c>
      <c r="C62" s="52"/>
    </row>
    <row r="63" spans="1:3" x14ac:dyDescent="0.2">
      <c r="A63" s="34" t="s">
        <v>215</v>
      </c>
      <c r="B63" s="17">
        <v>0.2</v>
      </c>
      <c r="C63" s="52"/>
    </row>
    <row r="64" spans="1:3" x14ac:dyDescent="0.2">
      <c r="A64" s="34" t="s">
        <v>216</v>
      </c>
      <c r="B64" s="52"/>
      <c r="C64" s="8">
        <f>ROUND((C61/B62)*B63,2)</f>
        <v>0</v>
      </c>
    </row>
    <row r="65" spans="1:3" x14ac:dyDescent="0.2">
      <c r="A65" s="34" t="s">
        <v>217</v>
      </c>
      <c r="B65" s="6">
        <f>ROUND(+B54/B55*B56*B57,0)</f>
        <v>107</v>
      </c>
      <c r="C65" s="53"/>
    </row>
    <row r="66" spans="1:3" x14ac:dyDescent="0.2">
      <c r="A66" s="506" t="s">
        <v>218</v>
      </c>
      <c r="B66" s="506"/>
      <c r="C66" s="32">
        <f>ROUND(+B65*C64,2)</f>
        <v>0</v>
      </c>
    </row>
    <row r="68" spans="1:3" x14ac:dyDescent="0.2">
      <c r="A68" s="503" t="s">
        <v>232</v>
      </c>
      <c r="B68" s="503"/>
      <c r="C68" s="503"/>
    </row>
    <row r="69" spans="1:3" x14ac:dyDescent="0.2">
      <c r="A69" s="6" t="s">
        <v>103</v>
      </c>
      <c r="B69" s="52"/>
      <c r="C69" s="90">
        <f>+C66</f>
        <v>0</v>
      </c>
    </row>
    <row r="70" spans="1:3" x14ac:dyDescent="0.2">
      <c r="A70" s="6" t="s">
        <v>199</v>
      </c>
      <c r="B70" s="6">
        <v>192</v>
      </c>
      <c r="C70" s="54"/>
    </row>
    <row r="71" spans="1:3" x14ac:dyDescent="0.2">
      <c r="A71" s="6" t="s">
        <v>204</v>
      </c>
      <c r="B71" s="6">
        <f>+$B$4</f>
        <v>365.25</v>
      </c>
      <c r="C71" s="54"/>
    </row>
    <row r="72" spans="1:3" x14ac:dyDescent="0.2">
      <c r="A72" s="6" t="s">
        <v>197</v>
      </c>
      <c r="B72" s="6">
        <v>16</v>
      </c>
      <c r="C72" s="54"/>
    </row>
    <row r="73" spans="1:3" x14ac:dyDescent="0.2">
      <c r="A73" s="6" t="s">
        <v>200</v>
      </c>
      <c r="B73" s="17">
        <v>0.5</v>
      </c>
      <c r="C73" s="54"/>
    </row>
    <row r="74" spans="1:3" x14ac:dyDescent="0.2">
      <c r="A74" s="6" t="s">
        <v>205</v>
      </c>
      <c r="B74" s="92">
        <f>ROUND(((B71/7)*6)-B72,2)</f>
        <v>297.07</v>
      </c>
      <c r="C74" s="54"/>
    </row>
    <row r="75" spans="1:3" x14ac:dyDescent="0.2">
      <c r="A75" s="6" t="s">
        <v>206</v>
      </c>
      <c r="B75" s="34">
        <v>12</v>
      </c>
      <c r="C75" s="54"/>
    </row>
    <row r="76" spans="1:3" ht="25.5" x14ac:dyDescent="0.2">
      <c r="A76" s="30" t="s">
        <v>207</v>
      </c>
      <c r="B76" s="6">
        <f>+((B70/B75)*B73)/B74</f>
        <v>2.6929679873430507E-2</v>
      </c>
      <c r="C76" s="54"/>
    </row>
    <row r="77" spans="1:3" x14ac:dyDescent="0.2">
      <c r="A77" s="24" t="s">
        <v>208</v>
      </c>
      <c r="B77" s="24"/>
      <c r="C77" s="45">
        <f>+C69/B70*(B71-B74)*B76</f>
        <v>0</v>
      </c>
    </row>
    <row r="79" spans="1:3" x14ac:dyDescent="0.2">
      <c r="A79" s="459" t="s">
        <v>219</v>
      </c>
      <c r="B79" s="459"/>
      <c r="C79" s="459"/>
    </row>
    <row r="80" spans="1:3" x14ac:dyDescent="0.2">
      <c r="A80" s="6" t="s">
        <v>204</v>
      </c>
      <c r="B80" s="6">
        <f>+$B$4</f>
        <v>365.25</v>
      </c>
      <c r="C80" s="52"/>
    </row>
    <row r="81" spans="1:4" x14ac:dyDescent="0.2">
      <c r="A81" s="6" t="s">
        <v>206</v>
      </c>
      <c r="B81" s="34">
        <v>12</v>
      </c>
      <c r="C81" s="52"/>
    </row>
    <row r="82" spans="1:4" x14ac:dyDescent="0.2">
      <c r="A82" s="6" t="s">
        <v>213</v>
      </c>
      <c r="B82" s="17">
        <v>0.5</v>
      </c>
      <c r="C82" s="52"/>
      <c r="D82" s="109"/>
    </row>
    <row r="83" spans="1:4" x14ac:dyDescent="0.2">
      <c r="A83" s="103" t="s">
        <v>404</v>
      </c>
      <c r="B83" s="34">
        <v>7</v>
      </c>
      <c r="C83" s="52"/>
      <c r="D83" s="109"/>
    </row>
    <row r="84" spans="1:4" x14ac:dyDescent="0.2">
      <c r="A84" s="34" t="s">
        <v>220</v>
      </c>
      <c r="B84" s="51">
        <f>(365.25/12/2)/(7/7)</f>
        <v>15.21875</v>
      </c>
      <c r="C84" s="6"/>
      <c r="D84" s="109"/>
    </row>
    <row r="85" spans="1:4" x14ac:dyDescent="0.2">
      <c r="A85" s="34" t="s">
        <v>221</v>
      </c>
      <c r="B85" s="6">
        <f>ROUND(+B84*B83,2)</f>
        <v>106.53</v>
      </c>
      <c r="C85" s="6"/>
    </row>
    <row r="86" spans="1:4" x14ac:dyDescent="0.2">
      <c r="A86" s="34" t="s">
        <v>214</v>
      </c>
      <c r="B86" s="52"/>
      <c r="C86" s="18">
        <f>+'Vigilante 12X36 Noturno Des'!$D$14</f>
        <v>0</v>
      </c>
    </row>
    <row r="87" spans="1:4" x14ac:dyDescent="0.2">
      <c r="A87" s="34" t="s">
        <v>31</v>
      </c>
      <c r="B87" s="52"/>
      <c r="C87" s="18">
        <f>+'Vigilante 12X36 Noturno Des'!$D$15</f>
        <v>0</v>
      </c>
    </row>
    <row r="88" spans="1:4" x14ac:dyDescent="0.2">
      <c r="A88" s="34" t="s">
        <v>32</v>
      </c>
      <c r="B88" s="52"/>
      <c r="C88" s="18">
        <f>+'Vigilante 12X36 Noturno Des'!$D$16</f>
        <v>0</v>
      </c>
    </row>
    <row r="89" spans="1:4" x14ac:dyDescent="0.2">
      <c r="A89" s="104" t="s">
        <v>193</v>
      </c>
      <c r="B89" s="52"/>
      <c r="C89" s="105">
        <f>SUM(C86:C88)</f>
        <v>0</v>
      </c>
      <c r="D89" s="88"/>
    </row>
    <row r="90" spans="1:4" x14ac:dyDescent="0.2">
      <c r="A90" s="6" t="s">
        <v>102</v>
      </c>
      <c r="B90" s="106">
        <f>+B3</f>
        <v>220</v>
      </c>
      <c r="C90" s="52"/>
    </row>
    <row r="91" spans="1:4" x14ac:dyDescent="0.2">
      <c r="A91" s="34" t="s">
        <v>215</v>
      </c>
      <c r="B91" s="17">
        <v>0.2</v>
      </c>
      <c r="C91" s="52"/>
    </row>
    <row r="92" spans="1:4" x14ac:dyDescent="0.2">
      <c r="A92" s="34" t="s">
        <v>216</v>
      </c>
      <c r="B92" s="52"/>
      <c r="C92" s="8">
        <f>ROUND((C89/B90)*B91,2)</f>
        <v>0</v>
      </c>
    </row>
    <row r="93" spans="1:4" x14ac:dyDescent="0.2">
      <c r="A93" s="34" t="s">
        <v>223</v>
      </c>
      <c r="B93" s="6">
        <v>60</v>
      </c>
      <c r="C93" s="52"/>
    </row>
    <row r="94" spans="1:4" x14ac:dyDescent="0.2">
      <c r="A94" s="34" t="s">
        <v>222</v>
      </c>
      <c r="B94" s="6">
        <v>52.5</v>
      </c>
      <c r="C94" s="52"/>
    </row>
    <row r="95" spans="1:4" x14ac:dyDescent="0.2">
      <c r="A95" s="34" t="s">
        <v>224</v>
      </c>
      <c r="B95" s="6">
        <f>+B93/B94</f>
        <v>1.1428571428571428</v>
      </c>
      <c r="C95" s="52"/>
    </row>
    <row r="96" spans="1:4" x14ac:dyDescent="0.2">
      <c r="A96" s="34" t="s">
        <v>225</v>
      </c>
      <c r="B96" s="6">
        <f>ROUND(+B95*B85,2)</f>
        <v>121.75</v>
      </c>
      <c r="C96" s="52"/>
    </row>
    <row r="97" spans="1:3" x14ac:dyDescent="0.2">
      <c r="A97" s="34" t="s">
        <v>226</v>
      </c>
      <c r="B97" s="6">
        <f>ROUND(B96-B85,2)</f>
        <v>15.22</v>
      </c>
      <c r="C97" s="53"/>
    </row>
    <row r="98" spans="1:3" x14ac:dyDescent="0.2">
      <c r="A98" s="494" t="s">
        <v>227</v>
      </c>
      <c r="B98" s="494"/>
      <c r="C98" s="71">
        <f>+B97*C92</f>
        <v>0</v>
      </c>
    </row>
    <row r="100" spans="1:3" x14ac:dyDescent="0.2">
      <c r="A100" s="459" t="s">
        <v>233</v>
      </c>
      <c r="B100" s="459"/>
      <c r="C100" s="459"/>
    </row>
    <row r="101" spans="1:3" x14ac:dyDescent="0.2">
      <c r="A101" s="6" t="s">
        <v>204</v>
      </c>
      <c r="B101" s="6">
        <f>+$B$4</f>
        <v>365.25</v>
      </c>
      <c r="C101" s="52"/>
    </row>
    <row r="102" spans="1:3" x14ac:dyDescent="0.2">
      <c r="A102" s="6" t="s">
        <v>206</v>
      </c>
      <c r="B102" s="34">
        <v>12</v>
      </c>
      <c r="C102" s="52"/>
    </row>
    <row r="103" spans="1:3" x14ac:dyDescent="0.2">
      <c r="A103" s="6" t="s">
        <v>213</v>
      </c>
      <c r="B103" s="17">
        <v>0.5</v>
      </c>
      <c r="C103" s="52"/>
    </row>
    <row r="104" spans="1:3" x14ac:dyDescent="0.2">
      <c r="A104" s="34" t="s">
        <v>234</v>
      </c>
      <c r="B104" s="6">
        <f>ROUND((B101/B102)*B103,2)</f>
        <v>15.22</v>
      </c>
      <c r="C104" s="52"/>
    </row>
    <row r="105" spans="1:3" x14ac:dyDescent="0.2">
      <c r="A105" s="205" t="s">
        <v>235</v>
      </c>
      <c r="B105" s="206"/>
      <c r="C105" s="52"/>
    </row>
    <row r="106" spans="1:3" x14ac:dyDescent="0.2">
      <c r="A106" s="6" t="s">
        <v>236</v>
      </c>
      <c r="B106" s="17">
        <v>0.06</v>
      </c>
      <c r="C106" s="52"/>
    </row>
    <row r="107" spans="1:3" x14ac:dyDescent="0.2">
      <c r="A107" s="504" t="s">
        <v>237</v>
      </c>
      <c r="B107" s="505"/>
      <c r="C107" s="45">
        <f>ROUND((B104*(B105*2)-($B$6*B106)),2)</f>
        <v>0</v>
      </c>
    </row>
    <row r="109" spans="1:3" x14ac:dyDescent="0.2">
      <c r="A109" s="459" t="s">
        <v>238</v>
      </c>
      <c r="B109" s="459"/>
      <c r="C109" s="459"/>
    </row>
    <row r="110" spans="1:3" x14ac:dyDescent="0.2">
      <c r="A110" s="6" t="s">
        <v>204</v>
      </c>
      <c r="B110" s="6">
        <f>+$B$4</f>
        <v>365.25</v>
      </c>
      <c r="C110" s="52"/>
    </row>
    <row r="111" spans="1:3" x14ac:dyDescent="0.2">
      <c r="A111" s="6" t="s">
        <v>206</v>
      </c>
      <c r="B111" s="34">
        <v>12</v>
      </c>
      <c r="C111" s="52"/>
    </row>
    <row r="112" spans="1:3" x14ac:dyDescent="0.2">
      <c r="A112" s="6" t="s">
        <v>213</v>
      </c>
      <c r="B112" s="17">
        <v>0.5</v>
      </c>
      <c r="C112" s="52"/>
    </row>
    <row r="113" spans="1:3" x14ac:dyDescent="0.2">
      <c r="A113" s="34" t="s">
        <v>234</v>
      </c>
      <c r="B113" s="6">
        <f>ROUND((B110/B111)*B112,2)</f>
        <v>15.22</v>
      </c>
      <c r="C113" s="52"/>
    </row>
    <row r="114" spans="1:3" x14ac:dyDescent="0.2">
      <c r="A114" s="205" t="s">
        <v>239</v>
      </c>
      <c r="B114" s="206"/>
      <c r="C114" s="52"/>
    </row>
    <row r="115" spans="1:3" x14ac:dyDescent="0.2">
      <c r="A115" s="6" t="s">
        <v>366</v>
      </c>
      <c r="B115" s="17">
        <v>0.2</v>
      </c>
      <c r="C115" s="52"/>
    </row>
    <row r="116" spans="1:3" x14ac:dyDescent="0.2">
      <c r="A116" s="504" t="s">
        <v>239</v>
      </c>
      <c r="B116" s="505"/>
      <c r="C116" s="45">
        <f>ROUND((B113*(B114)-((B113*B114)*B115)),2)</f>
        <v>0</v>
      </c>
    </row>
    <row r="118" spans="1:3" x14ac:dyDescent="0.2">
      <c r="A118" s="459" t="s">
        <v>240</v>
      </c>
      <c r="B118" s="459"/>
      <c r="C118" s="459"/>
    </row>
    <row r="119" spans="1:3" x14ac:dyDescent="0.2">
      <c r="A119" s="6" t="s">
        <v>242</v>
      </c>
      <c r="B119" s="18">
        <f>+B7</f>
        <v>0</v>
      </c>
      <c r="C119" s="52"/>
    </row>
    <row r="120" spans="1:3" x14ac:dyDescent="0.2">
      <c r="A120" s="6" t="s">
        <v>243</v>
      </c>
      <c r="B120" s="6">
        <v>12</v>
      </c>
      <c r="C120" s="52"/>
    </row>
    <row r="121" spans="1:3" x14ac:dyDescent="0.2">
      <c r="A121" s="116" t="s">
        <v>244</v>
      </c>
      <c r="B121" s="114"/>
      <c r="C121" s="52"/>
    </row>
    <row r="122" spans="1:3" x14ac:dyDescent="0.2">
      <c r="A122" s="494" t="s">
        <v>245</v>
      </c>
      <c r="B122" s="494"/>
      <c r="C122" s="45">
        <f>ROUND(+(B119/B120)*B121,2)</f>
        <v>0</v>
      </c>
    </row>
    <row r="124" spans="1:3" x14ac:dyDescent="0.2">
      <c r="A124" s="507" t="s">
        <v>246</v>
      </c>
      <c r="B124" s="508"/>
      <c r="C124" s="509"/>
    </row>
    <row r="125" spans="1:3" s="60" customFormat="1" x14ac:dyDescent="0.2">
      <c r="A125" s="117" t="s">
        <v>251</v>
      </c>
      <c r="B125" s="114">
        <f>+B121</f>
        <v>0</v>
      </c>
      <c r="C125" s="52"/>
    </row>
    <row r="126" spans="1:3" x14ac:dyDescent="0.2">
      <c r="A126" s="6" t="s">
        <v>247</v>
      </c>
      <c r="B126" s="18">
        <f>+'Vigilante 12X36 Noturno Des'!$D$25</f>
        <v>0</v>
      </c>
      <c r="C126" s="52"/>
    </row>
    <row r="127" spans="1:3" x14ac:dyDescent="0.2">
      <c r="A127" s="6" t="s">
        <v>46</v>
      </c>
      <c r="B127" s="18">
        <f>+'Vigilante 12X36 Noturno Des'!$D$31</f>
        <v>0</v>
      </c>
      <c r="C127" s="52"/>
    </row>
    <row r="128" spans="1:3" x14ac:dyDescent="0.2">
      <c r="A128" s="111" t="s">
        <v>45</v>
      </c>
      <c r="B128" s="18">
        <f>+'Vigilante 12X36 Noturno Des'!$D$33</f>
        <v>0</v>
      </c>
      <c r="C128" s="52"/>
    </row>
    <row r="129" spans="1:3" x14ac:dyDescent="0.2">
      <c r="A129" s="111" t="s">
        <v>44</v>
      </c>
      <c r="B129" s="18">
        <f>+'Vigilante 12X36 Noturno Des'!$D$34</f>
        <v>0</v>
      </c>
      <c r="C129" s="52"/>
    </row>
    <row r="130" spans="1:3" x14ac:dyDescent="0.2">
      <c r="A130" s="104" t="s">
        <v>248</v>
      </c>
      <c r="B130" s="105">
        <f>SUM(B126:B129)</f>
        <v>0</v>
      </c>
      <c r="C130" s="52"/>
    </row>
    <row r="131" spans="1:3" x14ac:dyDescent="0.2">
      <c r="A131" s="25" t="s">
        <v>249</v>
      </c>
      <c r="B131" s="17">
        <v>0.4</v>
      </c>
      <c r="C131" s="52"/>
    </row>
    <row r="132" spans="1:3" x14ac:dyDescent="0.2">
      <c r="A132" s="25" t="s">
        <v>250</v>
      </c>
      <c r="B132" s="17">
        <f>+'Vigilante 12X36 Noturno Des'!$C$46</f>
        <v>0.08</v>
      </c>
      <c r="C132" s="52"/>
    </row>
    <row r="133" spans="1:3" x14ac:dyDescent="0.2">
      <c r="A133" s="510" t="s">
        <v>252</v>
      </c>
      <c r="B133" s="510"/>
      <c r="C133" s="73">
        <f>ROUND(+B130*B131*B132*B125,2)</f>
        <v>0</v>
      </c>
    </row>
    <row r="134" spans="1:3" x14ac:dyDescent="0.2">
      <c r="A134" s="25" t="s">
        <v>253</v>
      </c>
      <c r="B134" s="17">
        <v>0.1</v>
      </c>
      <c r="C134" s="52"/>
    </row>
    <row r="135" spans="1:3" x14ac:dyDescent="0.2">
      <c r="A135" s="510" t="s">
        <v>254</v>
      </c>
      <c r="B135" s="510"/>
      <c r="C135" s="112">
        <f>ROUND(B134*B132*B130*B125,2)</f>
        <v>0</v>
      </c>
    </row>
    <row r="136" spans="1:3" x14ac:dyDescent="0.2">
      <c r="A136" s="504" t="s">
        <v>255</v>
      </c>
      <c r="B136" s="505"/>
      <c r="C136" s="71">
        <f>+C135+C133</f>
        <v>0</v>
      </c>
    </row>
    <row r="138" spans="1:3" x14ac:dyDescent="0.2">
      <c r="A138" s="459" t="s">
        <v>256</v>
      </c>
      <c r="B138" s="459"/>
      <c r="C138" s="459"/>
    </row>
    <row r="139" spans="1:3" x14ac:dyDescent="0.2">
      <c r="A139" s="6" t="s">
        <v>242</v>
      </c>
      <c r="B139" s="18">
        <f>+B7</f>
        <v>0</v>
      </c>
      <c r="C139" s="52"/>
    </row>
    <row r="140" spans="1:3" x14ac:dyDescent="0.2">
      <c r="A140" s="6" t="s">
        <v>257</v>
      </c>
      <c r="B140" s="113">
        <v>30</v>
      </c>
      <c r="C140" s="52"/>
    </row>
    <row r="141" spans="1:3" x14ac:dyDescent="0.2">
      <c r="A141" s="6" t="s">
        <v>243</v>
      </c>
      <c r="B141" s="6">
        <v>12</v>
      </c>
      <c r="C141" s="52"/>
    </row>
    <row r="142" spans="1:3" x14ac:dyDescent="0.2">
      <c r="A142" s="6" t="s">
        <v>258</v>
      </c>
      <c r="B142" s="6">
        <v>7</v>
      </c>
      <c r="C142" s="52"/>
    </row>
    <row r="143" spans="1:3" x14ac:dyDescent="0.2">
      <c r="A143" s="116" t="s">
        <v>294</v>
      </c>
      <c r="B143" s="114"/>
      <c r="C143" s="52"/>
    </row>
    <row r="144" spans="1:3" x14ac:dyDescent="0.2">
      <c r="A144" s="494" t="s">
        <v>369</v>
      </c>
      <c r="B144" s="494"/>
      <c r="C144" s="45">
        <f>+ROUND(((B139/B140/B141)*B142)*B143,2)</f>
        <v>0</v>
      </c>
    </row>
    <row r="146" spans="1:3" x14ac:dyDescent="0.2">
      <c r="A146" s="507" t="s">
        <v>259</v>
      </c>
      <c r="B146" s="508"/>
      <c r="C146" s="509"/>
    </row>
    <row r="147" spans="1:3" x14ac:dyDescent="0.2">
      <c r="A147" s="115" t="s">
        <v>260</v>
      </c>
      <c r="B147" s="114">
        <f>+B143</f>
        <v>0</v>
      </c>
      <c r="C147" s="52"/>
    </row>
    <row r="148" spans="1:3" x14ac:dyDescent="0.2">
      <c r="A148" s="6" t="s">
        <v>247</v>
      </c>
      <c r="B148" s="18">
        <f>+'Vigilante 12X36 Noturno Des'!$D$25</f>
        <v>0</v>
      </c>
      <c r="C148" s="52"/>
    </row>
    <row r="149" spans="1:3" x14ac:dyDescent="0.2">
      <c r="A149" s="6" t="s">
        <v>46</v>
      </c>
      <c r="B149" s="18">
        <f>+'Vigilante 12X36 Noturno Des'!$D$31</f>
        <v>0</v>
      </c>
      <c r="C149" s="52"/>
    </row>
    <row r="150" spans="1:3" x14ac:dyDescent="0.2">
      <c r="A150" s="111" t="s">
        <v>45</v>
      </c>
      <c r="B150" s="18">
        <f>+'Vigilante 12X36 Noturno Des'!$D$33</f>
        <v>0</v>
      </c>
      <c r="C150" s="52"/>
    </row>
    <row r="151" spans="1:3" x14ac:dyDescent="0.2">
      <c r="A151" s="111" t="s">
        <v>44</v>
      </c>
      <c r="B151" s="18">
        <f>+'Vigilante 12X36 Noturno Des'!$D$34</f>
        <v>0</v>
      </c>
      <c r="C151" s="52"/>
    </row>
    <row r="152" spans="1:3" x14ac:dyDescent="0.2">
      <c r="A152" s="104" t="s">
        <v>248</v>
      </c>
      <c r="B152" s="105">
        <f>SUM(B148:B151)</f>
        <v>0</v>
      </c>
      <c r="C152" s="52"/>
    </row>
    <row r="153" spans="1:3" x14ac:dyDescent="0.2">
      <c r="A153" s="25" t="s">
        <v>249</v>
      </c>
      <c r="B153" s="17">
        <v>0.4</v>
      </c>
      <c r="C153" s="52"/>
    </row>
    <row r="154" spans="1:3" x14ac:dyDescent="0.2">
      <c r="A154" s="25" t="s">
        <v>250</v>
      </c>
      <c r="B154" s="17">
        <f>+'Vigilante 12X36 Noturno Des'!$C$46</f>
        <v>0.08</v>
      </c>
      <c r="C154" s="52"/>
    </row>
    <row r="155" spans="1:3" x14ac:dyDescent="0.2">
      <c r="A155" s="510" t="s">
        <v>252</v>
      </c>
      <c r="B155" s="510"/>
      <c r="C155" s="73">
        <f>ROUND(+B152*B153*B154*B147,2)</f>
        <v>0</v>
      </c>
    </row>
    <row r="156" spans="1:3" x14ac:dyDescent="0.2">
      <c r="A156" s="25" t="s">
        <v>253</v>
      </c>
      <c r="B156" s="17">
        <v>0.1</v>
      </c>
      <c r="C156" s="52"/>
    </row>
    <row r="157" spans="1:3" x14ac:dyDescent="0.2">
      <c r="A157" s="510" t="s">
        <v>254</v>
      </c>
      <c r="B157" s="510"/>
      <c r="C157" s="112">
        <f>ROUND(B156*B154*B152*B147,2)</f>
        <v>0</v>
      </c>
    </row>
    <row r="158" spans="1:3" x14ac:dyDescent="0.2">
      <c r="A158" s="504" t="s">
        <v>385</v>
      </c>
      <c r="B158" s="505"/>
      <c r="C158" s="71">
        <f>+C157+C155</f>
        <v>0</v>
      </c>
    </row>
    <row r="160" spans="1:3" x14ac:dyDescent="0.2">
      <c r="A160" s="507" t="s">
        <v>262</v>
      </c>
      <c r="B160" s="508"/>
      <c r="C160" s="509"/>
    </row>
    <row r="161" spans="1:3" x14ac:dyDescent="0.2">
      <c r="A161" s="511" t="s">
        <v>358</v>
      </c>
      <c r="B161" s="511"/>
      <c r="C161" s="511"/>
    </row>
    <row r="162" spans="1:3" x14ac:dyDescent="0.2">
      <c r="A162" s="511"/>
      <c r="B162" s="511"/>
      <c r="C162" s="511"/>
    </row>
    <row r="163" spans="1:3" x14ac:dyDescent="0.2">
      <c r="A163" s="511"/>
      <c r="B163" s="511"/>
      <c r="C163" s="511"/>
    </row>
    <row r="164" spans="1:3" x14ac:dyDescent="0.2">
      <c r="A164" s="511"/>
      <c r="B164" s="511"/>
      <c r="C164" s="511"/>
    </row>
    <row r="165" spans="1:3" x14ac:dyDescent="0.2">
      <c r="A165" s="119"/>
      <c r="B165" s="119"/>
      <c r="C165" s="119"/>
    </row>
    <row r="166" spans="1:3" x14ac:dyDescent="0.2">
      <c r="A166" s="512" t="s">
        <v>261</v>
      </c>
      <c r="B166" s="512"/>
      <c r="C166" s="512"/>
    </row>
    <row r="167" spans="1:3" x14ac:dyDescent="0.2">
      <c r="A167" s="6" t="s">
        <v>263</v>
      </c>
      <c r="B167" s="18">
        <f>+$B$7</f>
        <v>0</v>
      </c>
      <c r="C167" s="52"/>
    </row>
    <row r="168" spans="1:3" x14ac:dyDescent="0.2">
      <c r="A168" s="6" t="s">
        <v>206</v>
      </c>
      <c r="B168" s="6">
        <v>30</v>
      </c>
      <c r="C168" s="52"/>
    </row>
    <row r="169" spans="1:3" x14ac:dyDescent="0.2">
      <c r="A169" s="6" t="s">
        <v>264</v>
      </c>
      <c r="B169" s="6">
        <v>12</v>
      </c>
      <c r="C169" s="52"/>
    </row>
    <row r="170" spans="1:3" x14ac:dyDescent="0.2">
      <c r="A170" s="116" t="s">
        <v>265</v>
      </c>
      <c r="B170" s="116"/>
      <c r="C170" s="52"/>
    </row>
    <row r="171" spans="1:3" x14ac:dyDescent="0.2">
      <c r="A171" s="494" t="s">
        <v>266</v>
      </c>
      <c r="B171" s="494"/>
      <c r="C171" s="24">
        <f>+ROUND((B167/B168/B169)*B170,2)</f>
        <v>0</v>
      </c>
    </row>
    <row r="173" spans="1:3" x14ac:dyDescent="0.2">
      <c r="A173" s="512" t="s">
        <v>269</v>
      </c>
      <c r="B173" s="512"/>
      <c r="C173" s="512"/>
    </row>
    <row r="174" spans="1:3" x14ac:dyDescent="0.2">
      <c r="A174" s="6" t="s">
        <v>263</v>
      </c>
      <c r="B174" s="18">
        <f>+$B$7</f>
        <v>0</v>
      </c>
      <c r="C174" s="52"/>
    </row>
    <row r="175" spans="1:3" x14ac:dyDescent="0.2">
      <c r="A175" s="6" t="s">
        <v>206</v>
      </c>
      <c r="B175" s="6">
        <v>30</v>
      </c>
      <c r="C175" s="52"/>
    </row>
    <row r="176" spans="1:3" x14ac:dyDescent="0.2">
      <c r="A176" s="6" t="s">
        <v>264</v>
      </c>
      <c r="B176" s="6">
        <v>12</v>
      </c>
      <c r="C176" s="52"/>
    </row>
    <row r="177" spans="1:3" x14ac:dyDescent="0.2">
      <c r="A177" s="34" t="s">
        <v>267</v>
      </c>
      <c r="B177" s="6">
        <v>5</v>
      </c>
      <c r="C177" s="52"/>
    </row>
    <row r="178" spans="1:3" x14ac:dyDescent="0.2">
      <c r="A178" s="116" t="s">
        <v>268</v>
      </c>
      <c r="B178" s="114"/>
      <c r="C178" s="52"/>
    </row>
    <row r="179" spans="1:3" x14ac:dyDescent="0.2">
      <c r="A179" s="116" t="s">
        <v>270</v>
      </c>
      <c r="B179" s="114"/>
      <c r="C179" s="52"/>
    </row>
    <row r="180" spans="1:3" x14ac:dyDescent="0.2">
      <c r="A180" s="494" t="s">
        <v>271</v>
      </c>
      <c r="B180" s="494"/>
      <c r="C180" s="45">
        <f>ROUND(+B174/B175/B176*B177*B178*B179,2)</f>
        <v>0</v>
      </c>
    </row>
    <row r="182" spans="1:3" x14ac:dyDescent="0.2">
      <c r="A182" s="512" t="s">
        <v>272</v>
      </c>
      <c r="B182" s="512"/>
      <c r="C182" s="512"/>
    </row>
    <row r="183" spans="1:3" x14ac:dyDescent="0.2">
      <c r="A183" s="6" t="s">
        <v>263</v>
      </c>
      <c r="B183" s="18">
        <f>+$B$7</f>
        <v>0</v>
      </c>
      <c r="C183" s="52"/>
    </row>
    <row r="184" spans="1:3" x14ac:dyDescent="0.2">
      <c r="A184" s="6" t="s">
        <v>206</v>
      </c>
      <c r="B184" s="6">
        <v>30</v>
      </c>
      <c r="C184" s="52"/>
    </row>
    <row r="185" spans="1:3" x14ac:dyDescent="0.2">
      <c r="A185" s="6" t="s">
        <v>264</v>
      </c>
      <c r="B185" s="6">
        <v>12</v>
      </c>
      <c r="C185" s="52"/>
    </row>
    <row r="186" spans="1:3" x14ac:dyDescent="0.2">
      <c r="A186" s="34" t="s">
        <v>273</v>
      </c>
      <c r="B186" s="6">
        <v>15</v>
      </c>
      <c r="C186" s="52"/>
    </row>
    <row r="187" spans="1:3" x14ac:dyDescent="0.2">
      <c r="A187" s="116" t="s">
        <v>274</v>
      </c>
      <c r="B187" s="114"/>
      <c r="C187" s="52"/>
    </row>
    <row r="188" spans="1:3" x14ac:dyDescent="0.2">
      <c r="A188" s="494" t="s">
        <v>370</v>
      </c>
      <c r="B188" s="494"/>
      <c r="C188" s="45">
        <f>ROUND(+B183/B184/B185*B186*B187,2)</f>
        <v>0</v>
      </c>
    </row>
    <row r="190" spans="1:3" x14ac:dyDescent="0.2">
      <c r="A190" s="512" t="s">
        <v>275</v>
      </c>
      <c r="B190" s="512"/>
      <c r="C190" s="512"/>
    </row>
    <row r="191" spans="1:3" x14ac:dyDescent="0.2">
      <c r="A191" s="6" t="s">
        <v>263</v>
      </c>
      <c r="B191" s="18">
        <f>+$B$7</f>
        <v>0</v>
      </c>
      <c r="C191" s="52"/>
    </row>
    <row r="192" spans="1:3" x14ac:dyDescent="0.2">
      <c r="A192" s="6" t="s">
        <v>206</v>
      </c>
      <c r="B192" s="6">
        <v>30</v>
      </c>
      <c r="C192" s="52"/>
    </row>
    <row r="193" spans="1:3" x14ac:dyDescent="0.2">
      <c r="A193" s="6" t="s">
        <v>264</v>
      </c>
      <c r="B193" s="6">
        <v>12</v>
      </c>
      <c r="C193" s="52"/>
    </row>
    <row r="194" spans="1:3" x14ac:dyDescent="0.2">
      <c r="A194" s="34" t="s">
        <v>273</v>
      </c>
      <c r="B194" s="6">
        <v>5</v>
      </c>
      <c r="C194" s="52"/>
    </row>
    <row r="195" spans="1:3" x14ac:dyDescent="0.2">
      <c r="A195" s="116" t="s">
        <v>276</v>
      </c>
      <c r="B195" s="114"/>
      <c r="C195" s="52"/>
    </row>
    <row r="196" spans="1:3" x14ac:dyDescent="0.2">
      <c r="A196" s="494" t="s">
        <v>371</v>
      </c>
      <c r="B196" s="494"/>
      <c r="C196" s="45">
        <f>ROUND(+B191/B192/B193*B194*B195,2)</f>
        <v>0</v>
      </c>
    </row>
    <row r="198" spans="1:3" x14ac:dyDescent="0.2">
      <c r="A198" s="459" t="s">
        <v>108</v>
      </c>
      <c r="B198" s="459"/>
      <c r="C198" s="459"/>
    </row>
    <row r="199" spans="1:3" x14ac:dyDescent="0.2">
      <c r="A199" s="83" t="s">
        <v>23</v>
      </c>
      <c r="B199" s="87"/>
      <c r="C199" s="18">
        <f>+'Vigilante 12X36 Noturno Des'!D25-'Vigilante 12X36 Noturno Des'!D23</f>
        <v>0</v>
      </c>
    </row>
    <row r="200" spans="1:3" x14ac:dyDescent="0.2">
      <c r="A200" s="83" t="s">
        <v>68</v>
      </c>
      <c r="B200" s="87"/>
      <c r="C200" s="18">
        <f>+'Vigilante 12X36 Noturno Des'!D70</f>
        <v>0</v>
      </c>
    </row>
    <row r="201" spans="1:3" x14ac:dyDescent="0.2">
      <c r="A201" s="83" t="s">
        <v>153</v>
      </c>
      <c r="B201" s="87"/>
      <c r="C201" s="18">
        <f>+'Vigilante 12X36 Noturno Des'!D118</f>
        <v>0</v>
      </c>
    </row>
    <row r="202" spans="1:3" x14ac:dyDescent="0.2">
      <c r="A202" s="83" t="s">
        <v>86</v>
      </c>
      <c r="B202" s="87"/>
      <c r="C202" s="18">
        <f>+'Vigilante 12X36 Noturno Des'!D109</f>
        <v>0</v>
      </c>
    </row>
    <row r="203" spans="1:3" x14ac:dyDescent="0.2">
      <c r="A203" s="83" t="s">
        <v>92</v>
      </c>
      <c r="B203" s="87"/>
      <c r="C203" s="18">
        <f>+'Vigilante 12X36 Noturno Des'!D110</f>
        <v>0</v>
      </c>
    </row>
    <row r="204" spans="1:3" x14ac:dyDescent="0.2">
      <c r="A204" s="83" t="s">
        <v>70</v>
      </c>
      <c r="B204" s="87"/>
      <c r="C204" s="18">
        <f>+'Vigilante 12X36 Noturno Des'!D81</f>
        <v>0</v>
      </c>
    </row>
    <row r="205" spans="1:3" x14ac:dyDescent="0.2">
      <c r="A205" s="83" t="s">
        <v>193</v>
      </c>
      <c r="B205" s="87"/>
      <c r="C205" s="18">
        <f>SUM(C199:C204)</f>
        <v>0</v>
      </c>
    </row>
    <row r="206" spans="1:3" x14ac:dyDescent="0.2">
      <c r="A206" s="83" t="s">
        <v>102</v>
      </c>
      <c r="B206" s="84">
        <v>220</v>
      </c>
      <c r="C206" s="85"/>
    </row>
    <row r="207" spans="1:3" x14ac:dyDescent="0.2">
      <c r="A207" s="83" t="s">
        <v>103</v>
      </c>
      <c r="B207" s="87"/>
      <c r="C207" s="18">
        <f>ROUND(C205/B206,2)</f>
        <v>0</v>
      </c>
    </row>
    <row r="208" spans="1:3" x14ac:dyDescent="0.2">
      <c r="A208" s="6" t="s">
        <v>104</v>
      </c>
      <c r="B208" s="51">
        <f>(365.25/12/2)/(7/7)</f>
        <v>15.21875</v>
      </c>
      <c r="C208" s="58"/>
    </row>
    <row r="209" spans="1:3" x14ac:dyDescent="0.2">
      <c r="A209" s="504" t="s">
        <v>106</v>
      </c>
      <c r="B209" s="505"/>
      <c r="C209" s="71">
        <f>ROUND(+B208*C207,2)</f>
        <v>0</v>
      </c>
    </row>
    <row r="211" spans="1:3" x14ac:dyDescent="0.2">
      <c r="A211" s="512" t="s">
        <v>277</v>
      </c>
      <c r="B211" s="512"/>
      <c r="C211" s="512"/>
    </row>
    <row r="212" spans="1:3" x14ac:dyDescent="0.2">
      <c r="A212" s="513" t="s">
        <v>282</v>
      </c>
      <c r="B212" s="514"/>
      <c r="C212" s="515"/>
    </row>
    <row r="213" spans="1:3" x14ac:dyDescent="0.2">
      <c r="A213" s="6" t="s">
        <v>263</v>
      </c>
      <c r="B213" s="18">
        <f>+$B$7</f>
        <v>0</v>
      </c>
      <c r="C213" s="52"/>
    </row>
    <row r="214" spans="1:3" x14ac:dyDescent="0.2">
      <c r="A214" s="6" t="s">
        <v>281</v>
      </c>
      <c r="B214" s="18">
        <f>+B213*(1/3)</f>
        <v>0</v>
      </c>
      <c r="C214" s="52"/>
    </row>
    <row r="215" spans="1:3" x14ac:dyDescent="0.2">
      <c r="A215" s="104" t="s">
        <v>248</v>
      </c>
      <c r="B215" s="105">
        <f>SUM(B213:B214)</f>
        <v>0</v>
      </c>
      <c r="C215" s="52"/>
    </row>
    <row r="216" spans="1:3" x14ac:dyDescent="0.2">
      <c r="A216" s="6" t="s">
        <v>278</v>
      </c>
      <c r="B216" s="6">
        <v>4</v>
      </c>
      <c r="C216" s="52"/>
    </row>
    <row r="217" spans="1:3" x14ac:dyDescent="0.2">
      <c r="A217" s="6" t="s">
        <v>264</v>
      </c>
      <c r="B217" s="6">
        <v>12</v>
      </c>
      <c r="C217" s="52"/>
    </row>
    <row r="218" spans="1:3" x14ac:dyDescent="0.2">
      <c r="A218" s="116" t="s">
        <v>279</v>
      </c>
      <c r="B218" s="114"/>
      <c r="C218" s="52"/>
    </row>
    <row r="219" spans="1:3" x14ac:dyDescent="0.2">
      <c r="A219" s="116" t="s">
        <v>280</v>
      </c>
      <c r="B219" s="114"/>
      <c r="C219" s="52"/>
    </row>
    <row r="220" spans="1:3" x14ac:dyDescent="0.2">
      <c r="A220" s="494" t="s">
        <v>283</v>
      </c>
      <c r="B220" s="494"/>
      <c r="C220" s="45">
        <f>ROUND((((+B215*(B216/B217)/B217)*B218)*B219),2)</f>
        <v>0</v>
      </c>
    </row>
    <row r="221" spans="1:3" x14ac:dyDescent="0.2">
      <c r="A221" s="494" t="s">
        <v>284</v>
      </c>
      <c r="B221" s="494"/>
      <c r="C221" s="494"/>
    </row>
    <row r="222" spans="1:3" x14ac:dyDescent="0.2">
      <c r="A222" s="6" t="s">
        <v>263</v>
      </c>
      <c r="B222" s="18">
        <f>+'Vigilante 12X36 Noturno Des'!D25</f>
        <v>0</v>
      </c>
      <c r="C222" s="52"/>
    </row>
    <row r="223" spans="1:3" x14ac:dyDescent="0.2">
      <c r="A223" s="6" t="s">
        <v>46</v>
      </c>
      <c r="B223" s="18">
        <f>+'Vigilante 12X36 Noturno Des'!D31</f>
        <v>0</v>
      </c>
      <c r="C223" s="52"/>
    </row>
    <row r="224" spans="1:3" x14ac:dyDescent="0.2">
      <c r="A224" s="104" t="s">
        <v>248</v>
      </c>
      <c r="B224" s="105">
        <f>SUM(B222:B223)</f>
        <v>0</v>
      </c>
      <c r="C224" s="52"/>
    </row>
    <row r="225" spans="1:3" x14ac:dyDescent="0.2">
      <c r="A225" s="6" t="s">
        <v>278</v>
      </c>
      <c r="B225" s="6">
        <v>4</v>
      </c>
      <c r="C225" s="52"/>
    </row>
    <row r="226" spans="1:3" x14ac:dyDescent="0.2">
      <c r="A226" s="6" t="s">
        <v>264</v>
      </c>
      <c r="B226" s="6">
        <v>12</v>
      </c>
      <c r="C226" s="52"/>
    </row>
    <row r="227" spans="1:3" x14ac:dyDescent="0.2">
      <c r="A227" s="116" t="s">
        <v>279</v>
      </c>
      <c r="B227" s="114"/>
      <c r="C227" s="52"/>
    </row>
    <row r="228" spans="1:3" x14ac:dyDescent="0.2">
      <c r="A228" s="116" t="s">
        <v>280</v>
      </c>
      <c r="B228" s="114"/>
      <c r="C228" s="52"/>
    </row>
    <row r="229" spans="1:3" x14ac:dyDescent="0.2">
      <c r="A229" s="34" t="s">
        <v>285</v>
      </c>
      <c r="B229" s="17">
        <f>+'Vigilante 12X36 Noturno Des'!C47</f>
        <v>0.36800000000000005</v>
      </c>
      <c r="C229" s="52"/>
    </row>
    <row r="230" spans="1:3" x14ac:dyDescent="0.2">
      <c r="A230" s="494" t="s">
        <v>286</v>
      </c>
      <c r="B230" s="494"/>
      <c r="C230" s="71">
        <f>ROUND((((B224*(B225/B226)*B227)*B228)*B229),2)</f>
        <v>0</v>
      </c>
    </row>
  </sheetData>
  <mergeCells count="44">
    <mergeCell ref="A100:C100"/>
    <mergeCell ref="A1:C1"/>
    <mergeCell ref="A9:C9"/>
    <mergeCell ref="A25:B25"/>
    <mergeCell ref="A27:C27"/>
    <mergeCell ref="A38:C38"/>
    <mergeCell ref="A51:B51"/>
    <mergeCell ref="A53:C53"/>
    <mergeCell ref="A66:B66"/>
    <mergeCell ref="A68:C68"/>
    <mergeCell ref="A79:C79"/>
    <mergeCell ref="A98:B98"/>
    <mergeCell ref="A146:C146"/>
    <mergeCell ref="A107:B107"/>
    <mergeCell ref="A109:C109"/>
    <mergeCell ref="A116:B116"/>
    <mergeCell ref="A118:C118"/>
    <mergeCell ref="A122:B122"/>
    <mergeCell ref="A124:C124"/>
    <mergeCell ref="A133:B133"/>
    <mergeCell ref="A135:B135"/>
    <mergeCell ref="A136:B136"/>
    <mergeCell ref="A138:C138"/>
    <mergeCell ref="A144:B144"/>
    <mergeCell ref="A190:C190"/>
    <mergeCell ref="A155:B155"/>
    <mergeCell ref="A157:B157"/>
    <mergeCell ref="A158:B158"/>
    <mergeCell ref="A160:C160"/>
    <mergeCell ref="A161:C164"/>
    <mergeCell ref="A166:C166"/>
    <mergeCell ref="A171:B171"/>
    <mergeCell ref="A173:C173"/>
    <mergeCell ref="A180:B180"/>
    <mergeCell ref="A182:C182"/>
    <mergeCell ref="A188:B188"/>
    <mergeCell ref="A221:C221"/>
    <mergeCell ref="A230:B230"/>
    <mergeCell ref="A196:B196"/>
    <mergeCell ref="A198:C198"/>
    <mergeCell ref="A209:B209"/>
    <mergeCell ref="A211:C211"/>
    <mergeCell ref="A212:C212"/>
    <mergeCell ref="A220:B220"/>
  </mergeCells>
  <pageMargins left="0.99" right="0.11" top="0.78740157480314965" bottom="0.78740157480314965" header="0.31496062992125984" footer="0.31496062992125984"/>
  <pageSetup paperSize="9" scale="90" orientation="portrait" r:id="rId1"/>
  <headerFooter>
    <oddFooter>&amp;A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theme="7" tint="-0.249977111117893"/>
  </sheetPr>
  <dimension ref="A1:F186"/>
  <sheetViews>
    <sheetView topLeftCell="A58" workbookViewId="0">
      <selection activeCell="D47" sqref="D47"/>
    </sheetView>
  </sheetViews>
  <sheetFormatPr defaultRowHeight="12.75" x14ac:dyDescent="0.2"/>
  <cols>
    <col min="1" max="1" width="5.625" customWidth="1"/>
    <col min="2" max="2" width="50.5" customWidth="1"/>
    <col min="3" max="3" width="9.375" bestFit="1" customWidth="1"/>
    <col min="4" max="4" width="15.625" customWidth="1"/>
    <col min="5" max="5" width="11.75" bestFit="1" customWidth="1"/>
  </cols>
  <sheetData>
    <row r="1" spans="1:6" x14ac:dyDescent="0.2">
      <c r="A1" s="477" t="s">
        <v>211</v>
      </c>
      <c r="B1" s="478"/>
      <c r="C1" s="478"/>
      <c r="D1" s="479"/>
      <c r="E1" s="3"/>
      <c r="F1" s="3"/>
    </row>
    <row r="5" spans="1:6" x14ac:dyDescent="0.2">
      <c r="A5" s="463" t="s">
        <v>16</v>
      </c>
      <c r="B5" s="464"/>
      <c r="C5" s="464"/>
      <c r="D5" s="465"/>
    </row>
    <row r="6" spans="1:6" s="1" customFormat="1" ht="28.5" customHeight="1" x14ac:dyDescent="0.2">
      <c r="A6" s="177">
        <v>1</v>
      </c>
      <c r="B6" s="178" t="s">
        <v>17</v>
      </c>
      <c r="C6" s="543" t="s">
        <v>357</v>
      </c>
      <c r="D6" s="544"/>
    </row>
    <row r="7" spans="1:6" s="1" customFormat="1" x14ac:dyDescent="0.2">
      <c r="A7" s="177">
        <v>2</v>
      </c>
      <c r="B7" s="178" t="s">
        <v>18</v>
      </c>
      <c r="C7" s="545" t="s">
        <v>295</v>
      </c>
      <c r="D7" s="546"/>
    </row>
    <row r="8" spans="1:6" s="1" customFormat="1" x14ac:dyDescent="0.2">
      <c r="A8" s="177">
        <v>3</v>
      </c>
      <c r="B8" s="178" t="s">
        <v>19</v>
      </c>
      <c r="C8" s="484"/>
      <c r="D8" s="484"/>
    </row>
    <row r="9" spans="1:6" s="1" customFormat="1" ht="43.5" customHeight="1" x14ac:dyDescent="0.2">
      <c r="A9" s="177">
        <v>4</v>
      </c>
      <c r="B9" s="178" t="s">
        <v>21</v>
      </c>
      <c r="C9" s="547" t="s">
        <v>296</v>
      </c>
      <c r="D9" s="548"/>
    </row>
    <row r="10" spans="1:6" s="1" customFormat="1" x14ac:dyDescent="0.2">
      <c r="A10" s="177">
        <v>5</v>
      </c>
      <c r="B10" s="178" t="s">
        <v>20</v>
      </c>
      <c r="C10" s="549">
        <v>43160</v>
      </c>
      <c r="D10" s="546"/>
    </row>
    <row r="11" spans="1:6" x14ac:dyDescent="0.2">
      <c r="D11" s="201"/>
    </row>
    <row r="12" spans="1:6" x14ac:dyDescent="0.2">
      <c r="A12" s="455" t="s">
        <v>22</v>
      </c>
      <c r="B12" s="455"/>
      <c r="C12" s="455"/>
      <c r="D12" s="455"/>
    </row>
    <row r="13" spans="1:6" x14ac:dyDescent="0.2">
      <c r="A13" s="4">
        <v>1</v>
      </c>
      <c r="B13" s="94" t="s">
        <v>23</v>
      </c>
      <c r="C13" s="170" t="s">
        <v>50</v>
      </c>
      <c r="D13" s="5" t="s">
        <v>24</v>
      </c>
    </row>
    <row r="14" spans="1:6" x14ac:dyDescent="0.2">
      <c r="A14" s="171" t="s">
        <v>3</v>
      </c>
      <c r="B14" s="388" t="s">
        <v>30</v>
      </c>
      <c r="C14" s="388"/>
      <c r="D14" s="7">
        <f>+C8</f>
        <v>0</v>
      </c>
    </row>
    <row r="15" spans="1:6" x14ac:dyDescent="0.2">
      <c r="A15" s="171" t="s">
        <v>4</v>
      </c>
      <c r="B15" s="89" t="s">
        <v>31</v>
      </c>
      <c r="C15" s="95">
        <v>0.3</v>
      </c>
      <c r="D15" s="7">
        <f>+(D14+D24)*C15</f>
        <v>0</v>
      </c>
      <c r="E15" s="88"/>
    </row>
    <row r="16" spans="1:6" x14ac:dyDescent="0.2">
      <c r="A16" s="171" t="s">
        <v>5</v>
      </c>
      <c r="B16" s="89" t="s">
        <v>32</v>
      </c>
      <c r="C16" s="95"/>
      <c r="D16" s="7"/>
    </row>
    <row r="17" spans="1:6" x14ac:dyDescent="0.2">
      <c r="A17" s="171" t="s">
        <v>6</v>
      </c>
      <c r="B17" s="388" t="s">
        <v>33</v>
      </c>
      <c r="C17" s="388"/>
      <c r="D17" s="7"/>
    </row>
    <row r="18" spans="1:6" x14ac:dyDescent="0.2">
      <c r="A18" s="171" t="s">
        <v>25</v>
      </c>
      <c r="B18" s="388" t="s">
        <v>34</v>
      </c>
      <c r="C18" s="388"/>
      <c r="D18" s="7"/>
    </row>
    <row r="19" spans="1:6" x14ac:dyDescent="0.2">
      <c r="A19" s="171" t="s">
        <v>26</v>
      </c>
      <c r="B19" s="468" t="s">
        <v>231</v>
      </c>
      <c r="C19" s="469"/>
      <c r="D19" s="7"/>
    </row>
    <row r="20" spans="1:6" x14ac:dyDescent="0.2">
      <c r="A20" s="171" t="s">
        <v>27</v>
      </c>
      <c r="B20" s="388" t="s">
        <v>35</v>
      </c>
      <c r="C20" s="388"/>
      <c r="D20" s="7"/>
    </row>
    <row r="21" spans="1:6" x14ac:dyDescent="0.2">
      <c r="A21" s="171" t="s">
        <v>28</v>
      </c>
      <c r="B21" s="468" t="s">
        <v>195</v>
      </c>
      <c r="C21" s="469"/>
      <c r="D21" s="93"/>
    </row>
    <row r="22" spans="1:6" x14ac:dyDescent="0.2">
      <c r="A22" s="171" t="s">
        <v>64</v>
      </c>
      <c r="B22" s="89" t="s">
        <v>65</v>
      </c>
      <c r="C22" s="95"/>
      <c r="D22" s="7"/>
    </row>
    <row r="23" spans="1:6" x14ac:dyDescent="0.2">
      <c r="A23" s="171" t="s">
        <v>194</v>
      </c>
      <c r="B23" s="388" t="s">
        <v>95</v>
      </c>
      <c r="C23" s="388"/>
      <c r="D23" s="8"/>
      <c r="F23" s="98"/>
    </row>
    <row r="24" spans="1:6" x14ac:dyDescent="0.2">
      <c r="A24" s="171" t="s">
        <v>196</v>
      </c>
      <c r="B24" s="468" t="s">
        <v>344</v>
      </c>
      <c r="C24" s="469"/>
      <c r="D24" s="8">
        <f>+'Calculo 5x2 12h Arm'!C50</f>
        <v>0</v>
      </c>
      <c r="F24" s="98"/>
    </row>
    <row r="25" spans="1:6" x14ac:dyDescent="0.2">
      <c r="A25" s="171" t="s">
        <v>342</v>
      </c>
      <c r="B25" s="388" t="s">
        <v>36</v>
      </c>
      <c r="C25" s="388"/>
      <c r="D25" s="8"/>
    </row>
    <row r="26" spans="1:6" x14ac:dyDescent="0.2">
      <c r="A26" s="474" t="s">
        <v>29</v>
      </c>
      <c r="B26" s="474"/>
      <c r="C26" s="474"/>
      <c r="D26" s="9">
        <f>SUM(D14:D25)</f>
        <v>0</v>
      </c>
    </row>
    <row r="28" spans="1:6" x14ac:dyDescent="0.2">
      <c r="A28" s="455" t="s">
        <v>37</v>
      </c>
      <c r="B28" s="455"/>
      <c r="C28" s="455"/>
      <c r="D28" s="455"/>
    </row>
    <row r="30" spans="1:6" x14ac:dyDescent="0.2">
      <c r="A30" s="455" t="s">
        <v>38</v>
      </c>
      <c r="B30" s="455"/>
      <c r="C30" s="455"/>
      <c r="D30" s="455"/>
    </row>
    <row r="31" spans="1:6" x14ac:dyDescent="0.2">
      <c r="A31" s="19" t="s">
        <v>39</v>
      </c>
      <c r="B31" s="14" t="s">
        <v>40</v>
      </c>
      <c r="C31" s="22" t="s">
        <v>50</v>
      </c>
      <c r="D31" s="20" t="s">
        <v>24</v>
      </c>
    </row>
    <row r="32" spans="1:6" x14ac:dyDescent="0.2">
      <c r="A32" s="171" t="s">
        <v>3</v>
      </c>
      <c r="B32" s="6" t="s">
        <v>46</v>
      </c>
      <c r="C32" s="29" t="e">
        <f>ROUND(+D32/$D$26,4)</f>
        <v>#DIV/0!</v>
      </c>
      <c r="D32" s="8">
        <f>ROUND(+D26/12,2)</f>
        <v>0</v>
      </c>
    </row>
    <row r="33" spans="1:4" x14ac:dyDescent="0.2">
      <c r="A33" s="28" t="s">
        <v>4</v>
      </c>
      <c r="B33" s="37" t="s">
        <v>43</v>
      </c>
      <c r="C33" s="38" t="e">
        <f>ROUND(+D33/$D$26,4)</f>
        <v>#DIV/0!</v>
      </c>
      <c r="D33" s="39">
        <f>+D34+D35</f>
        <v>0</v>
      </c>
    </row>
    <row r="34" spans="1:4" x14ac:dyDescent="0.2">
      <c r="A34" s="171" t="s">
        <v>41</v>
      </c>
      <c r="B34" s="35" t="s">
        <v>45</v>
      </c>
      <c r="C34" s="40" t="e">
        <f>ROUND(+D34/$D$26,4)</f>
        <v>#DIV/0!</v>
      </c>
      <c r="D34" s="36">
        <f>ROUND(+D26/12,2)</f>
        <v>0</v>
      </c>
    </row>
    <row r="35" spans="1:4" x14ac:dyDescent="0.2">
      <c r="A35" s="171" t="s">
        <v>42</v>
      </c>
      <c r="B35" s="35" t="s">
        <v>44</v>
      </c>
      <c r="C35" s="40" t="e">
        <f>ROUND(+D35/$D$26,4)</f>
        <v>#DIV/0!</v>
      </c>
      <c r="D35" s="36">
        <f>ROUND(+(D26*1/3)/12,2)</f>
        <v>0</v>
      </c>
    </row>
    <row r="36" spans="1:4" x14ac:dyDescent="0.2">
      <c r="A36" s="474" t="s">
        <v>29</v>
      </c>
      <c r="B36" s="474"/>
      <c r="C36" s="474"/>
      <c r="D36" s="9">
        <f>+D33+D32</f>
        <v>0</v>
      </c>
    </row>
    <row r="38" spans="1:4" x14ac:dyDescent="0.2">
      <c r="A38" s="467" t="s">
        <v>47</v>
      </c>
      <c r="B38" s="467"/>
      <c r="C38" s="467"/>
      <c r="D38" s="467"/>
    </row>
    <row r="39" spans="1:4" x14ac:dyDescent="0.2">
      <c r="A39" s="19" t="s">
        <v>48</v>
      </c>
      <c r="B39" s="21" t="s">
        <v>49</v>
      </c>
      <c r="C39" s="22" t="s">
        <v>50</v>
      </c>
      <c r="D39" s="20" t="s">
        <v>24</v>
      </c>
    </row>
    <row r="40" spans="1:4" x14ac:dyDescent="0.2">
      <c r="A40" s="171" t="s">
        <v>3</v>
      </c>
      <c r="B40" s="6" t="s">
        <v>51</v>
      </c>
      <c r="C40" s="17">
        <v>0.2</v>
      </c>
      <c r="D40" s="18">
        <f>ROUND(C40*($D$26+$D$36),2)</f>
        <v>0</v>
      </c>
    </row>
    <row r="41" spans="1:4" x14ac:dyDescent="0.2">
      <c r="A41" s="171" t="s">
        <v>4</v>
      </c>
      <c r="B41" s="6" t="s">
        <v>52</v>
      </c>
      <c r="C41" s="17">
        <v>2.5000000000000001E-2</v>
      </c>
      <c r="D41" s="18">
        <f t="shared" ref="D41:D46" si="0">ROUND(C41*($D$26+$D$36),2)</f>
        <v>0</v>
      </c>
    </row>
    <row r="42" spans="1:4" x14ac:dyDescent="0.2">
      <c r="A42" s="171" t="s">
        <v>5</v>
      </c>
      <c r="B42" s="6" t="s">
        <v>58</v>
      </c>
      <c r="C42" s="17">
        <f>3%</f>
        <v>0.03</v>
      </c>
      <c r="D42" s="18">
        <f t="shared" si="0"/>
        <v>0</v>
      </c>
    </row>
    <row r="43" spans="1:4" x14ac:dyDescent="0.2">
      <c r="A43" s="171" t="s">
        <v>6</v>
      </c>
      <c r="B43" s="6" t="s">
        <v>53</v>
      </c>
      <c r="C43" s="17">
        <v>1.4999999999999999E-2</v>
      </c>
      <c r="D43" s="18">
        <f t="shared" si="0"/>
        <v>0</v>
      </c>
    </row>
    <row r="44" spans="1:4" x14ac:dyDescent="0.2">
      <c r="A44" s="171" t="s">
        <v>25</v>
      </c>
      <c r="B44" s="6" t="s">
        <v>54</v>
      </c>
      <c r="C44" s="17">
        <v>0.01</v>
      </c>
      <c r="D44" s="18">
        <f t="shared" si="0"/>
        <v>0</v>
      </c>
    </row>
    <row r="45" spans="1:4" x14ac:dyDescent="0.2">
      <c r="A45" s="171" t="s">
        <v>26</v>
      </c>
      <c r="B45" s="6" t="s">
        <v>55</v>
      </c>
      <c r="C45" s="17">
        <v>6.0000000000000001E-3</v>
      </c>
      <c r="D45" s="18">
        <f t="shared" si="0"/>
        <v>0</v>
      </c>
    </row>
    <row r="46" spans="1:4" x14ac:dyDescent="0.2">
      <c r="A46" s="171" t="s">
        <v>27</v>
      </c>
      <c r="B46" s="6" t="s">
        <v>56</v>
      </c>
      <c r="C46" s="17">
        <v>2E-3</v>
      </c>
      <c r="D46" s="18">
        <f t="shared" si="0"/>
        <v>0</v>
      </c>
    </row>
    <row r="47" spans="1:4" x14ac:dyDescent="0.2">
      <c r="A47" s="171" t="s">
        <v>28</v>
      </c>
      <c r="B47" s="6" t="s">
        <v>57</v>
      </c>
      <c r="C47" s="17">
        <v>0.08</v>
      </c>
      <c r="D47" s="18">
        <f>ROUND(C47*($D$26+$D$36),2)</f>
        <v>0</v>
      </c>
    </row>
    <row r="48" spans="1:4" x14ac:dyDescent="0.2">
      <c r="A48" s="172" t="s">
        <v>29</v>
      </c>
      <c r="B48" s="174"/>
      <c r="C48" s="41">
        <f>SUM(C40:C47)</f>
        <v>0.36800000000000005</v>
      </c>
      <c r="D48" s="42">
        <f>SUM(D40:D47)</f>
        <v>0</v>
      </c>
    </row>
    <row r="49" spans="1:6" x14ac:dyDescent="0.2">
      <c r="A49" s="43"/>
      <c r="B49" s="43"/>
      <c r="C49" s="43"/>
      <c r="D49" s="43"/>
    </row>
    <row r="50" spans="1:6" ht="12.75" customHeight="1" x14ac:dyDescent="0.2">
      <c r="A50" s="467" t="s">
        <v>59</v>
      </c>
      <c r="B50" s="467"/>
      <c r="C50" s="467"/>
      <c r="D50" s="467"/>
    </row>
    <row r="51" spans="1:6" x14ac:dyDescent="0.2">
      <c r="A51" s="19" t="s">
        <v>60</v>
      </c>
      <c r="B51" s="21" t="s">
        <v>61</v>
      </c>
      <c r="C51" s="22"/>
      <c r="D51" s="20" t="s">
        <v>24</v>
      </c>
    </row>
    <row r="52" spans="1:6" x14ac:dyDescent="0.2">
      <c r="A52" s="107" t="s">
        <v>3</v>
      </c>
      <c r="B52" s="6" t="s">
        <v>62</v>
      </c>
      <c r="C52" s="54"/>
      <c r="D52" s="18">
        <f>+'Calculo 5x2 12h Arm'!C121</f>
        <v>0</v>
      </c>
    </row>
    <row r="53" spans="1:6" s="60" customFormat="1" x14ac:dyDescent="0.2">
      <c r="A53" s="75" t="s">
        <v>177</v>
      </c>
      <c r="B53" s="34" t="s">
        <v>178</v>
      </c>
      <c r="C53" s="29">
        <f>+$C$138+$C$139</f>
        <v>3.6499999999999998E-2</v>
      </c>
      <c r="D53" s="77">
        <f>+(C53*D52)*-1</f>
        <v>0</v>
      </c>
      <c r="F53" s="76"/>
    </row>
    <row r="54" spans="1:6" x14ac:dyDescent="0.2">
      <c r="A54" s="107" t="s">
        <v>4</v>
      </c>
      <c r="B54" s="6" t="s">
        <v>63</v>
      </c>
      <c r="C54" s="54"/>
      <c r="D54" s="18">
        <f>+'Calculo 5x2 12h Arm'!C130</f>
        <v>0</v>
      </c>
      <c r="F54" s="61"/>
    </row>
    <row r="55" spans="1:6" s="60" customFormat="1" x14ac:dyDescent="0.2">
      <c r="A55" s="75" t="s">
        <v>41</v>
      </c>
      <c r="B55" s="34" t="s">
        <v>178</v>
      </c>
      <c r="C55" s="29">
        <f>+$C$138+$C$139</f>
        <v>3.6499999999999998E-2</v>
      </c>
      <c r="D55" s="77">
        <f>+(C55*D54)*-1</f>
        <v>0</v>
      </c>
      <c r="F55" s="78"/>
    </row>
    <row r="56" spans="1:6" x14ac:dyDescent="0.2">
      <c r="A56" s="6" t="s">
        <v>5</v>
      </c>
      <c r="B56" s="6" t="s">
        <v>66</v>
      </c>
      <c r="C56" s="54"/>
      <c r="D56" s="18"/>
      <c r="F56" s="61"/>
    </row>
    <row r="57" spans="1:6" x14ac:dyDescent="0.2">
      <c r="A57" s="75" t="s">
        <v>161</v>
      </c>
      <c r="B57" s="34" t="s">
        <v>178</v>
      </c>
      <c r="C57" s="29">
        <f>+$C$138+$C$139</f>
        <v>3.6499999999999998E-2</v>
      </c>
      <c r="D57" s="77">
        <f>+(C57*D56)*-1</f>
        <v>0</v>
      </c>
      <c r="F57" s="61"/>
    </row>
    <row r="58" spans="1:6" x14ac:dyDescent="0.2">
      <c r="A58" s="116" t="s">
        <v>6</v>
      </c>
      <c r="B58" s="116" t="s">
        <v>403</v>
      </c>
      <c r="C58" s="54"/>
      <c r="D58" s="377"/>
      <c r="F58" s="61"/>
    </row>
    <row r="59" spans="1:6" x14ac:dyDescent="0.2">
      <c r="A59" s="75" t="s">
        <v>179</v>
      </c>
      <c r="B59" s="34" t="s">
        <v>178</v>
      </c>
      <c r="C59" s="29">
        <f>+$C$138+$C$139</f>
        <v>3.6499999999999998E-2</v>
      </c>
      <c r="D59" s="77">
        <f>+(C59*D58)*-1</f>
        <v>0</v>
      </c>
      <c r="F59" s="61"/>
    </row>
    <row r="60" spans="1:6" x14ac:dyDescent="0.2">
      <c r="A60" s="116" t="s">
        <v>25</v>
      </c>
      <c r="B60" s="116" t="s">
        <v>436</v>
      </c>
      <c r="C60" s="54"/>
      <c r="D60" s="378"/>
      <c r="F60" s="131"/>
    </row>
    <row r="61" spans="1:6" x14ac:dyDescent="0.2">
      <c r="A61" s="75" t="s">
        <v>180</v>
      </c>
      <c r="B61" s="34" t="s">
        <v>178</v>
      </c>
      <c r="C61" s="29">
        <f>+$C$138+$C$139</f>
        <v>3.6499999999999998E-2</v>
      </c>
      <c r="D61" s="77">
        <f>+(C61*D60)*-1</f>
        <v>0</v>
      </c>
    </row>
    <row r="62" spans="1:6" x14ac:dyDescent="0.2">
      <c r="A62" s="116" t="s">
        <v>26</v>
      </c>
      <c r="B62" s="454" t="s">
        <v>293</v>
      </c>
      <c r="C62" s="454"/>
      <c r="D62" s="377"/>
    </row>
    <row r="63" spans="1:6" x14ac:dyDescent="0.2">
      <c r="A63" s="75" t="s">
        <v>81</v>
      </c>
      <c r="B63" s="34" t="s">
        <v>178</v>
      </c>
      <c r="C63" s="29">
        <f>+$C$138+$C$139</f>
        <v>3.6499999999999998E-2</v>
      </c>
      <c r="D63" s="77">
        <f>+(C63*D62)*-1</f>
        <v>0</v>
      </c>
    </row>
    <row r="64" spans="1:6" x14ac:dyDescent="0.2">
      <c r="A64" s="463" t="s">
        <v>29</v>
      </c>
      <c r="B64" s="465"/>
      <c r="C64" s="16"/>
      <c r="D64" s="110">
        <f>SUM(D52:D63)</f>
        <v>0</v>
      </c>
    </row>
    <row r="66" spans="1:4" x14ac:dyDescent="0.2">
      <c r="A66" s="455" t="s">
        <v>67</v>
      </c>
      <c r="B66" s="455"/>
      <c r="C66" s="455"/>
      <c r="D66" s="455"/>
    </row>
    <row r="67" spans="1:4" x14ac:dyDescent="0.2">
      <c r="A67" s="24">
        <v>2</v>
      </c>
      <c r="B67" s="455" t="s">
        <v>68</v>
      </c>
      <c r="C67" s="455"/>
      <c r="D67" s="176" t="s">
        <v>24</v>
      </c>
    </row>
    <row r="68" spans="1:4" x14ac:dyDescent="0.2">
      <c r="A68" s="25" t="s">
        <v>39</v>
      </c>
      <c r="B68" s="466" t="s">
        <v>40</v>
      </c>
      <c r="C68" s="466"/>
      <c r="D68" s="18">
        <f>+D36</f>
        <v>0</v>
      </c>
    </row>
    <row r="69" spans="1:4" x14ac:dyDescent="0.2">
      <c r="A69" s="25" t="s">
        <v>48</v>
      </c>
      <c r="B69" s="466" t="s">
        <v>49</v>
      </c>
      <c r="C69" s="466"/>
      <c r="D69" s="18">
        <f>+D48</f>
        <v>0</v>
      </c>
    </row>
    <row r="70" spans="1:4" x14ac:dyDescent="0.2">
      <c r="A70" s="25" t="s">
        <v>60</v>
      </c>
      <c r="B70" s="466" t="s">
        <v>61</v>
      </c>
      <c r="C70" s="466"/>
      <c r="D70" s="68">
        <f>+D64</f>
        <v>0</v>
      </c>
    </row>
    <row r="71" spans="1:4" x14ac:dyDescent="0.2">
      <c r="A71" s="455" t="s">
        <v>29</v>
      </c>
      <c r="B71" s="455"/>
      <c r="C71" s="455"/>
      <c r="D71" s="26">
        <f>SUM(D68:D70)</f>
        <v>0</v>
      </c>
    </row>
    <row r="73" spans="1:4" x14ac:dyDescent="0.2">
      <c r="A73" s="455" t="s">
        <v>69</v>
      </c>
      <c r="B73" s="455"/>
      <c r="C73" s="455"/>
      <c r="D73" s="455"/>
    </row>
    <row r="75" spans="1:4" x14ac:dyDescent="0.2">
      <c r="A75" s="13">
        <v>3</v>
      </c>
      <c r="B75" s="14" t="s">
        <v>70</v>
      </c>
      <c r="C75" s="170" t="s">
        <v>50</v>
      </c>
      <c r="D75" s="170" t="s">
        <v>24</v>
      </c>
    </row>
    <row r="76" spans="1:4" x14ac:dyDescent="0.2">
      <c r="A76" s="171" t="s">
        <v>3</v>
      </c>
      <c r="B76" s="34" t="s">
        <v>72</v>
      </c>
      <c r="C76" s="29" t="e">
        <f>+D76/$D$26</f>
        <v>#DIV/0!</v>
      </c>
      <c r="D76" s="118">
        <f>+'Calculo 5x2 12h Arm'!C136</f>
        <v>0</v>
      </c>
    </row>
    <row r="77" spans="1:4" x14ac:dyDescent="0.2">
      <c r="A77" s="171" t="s">
        <v>4</v>
      </c>
      <c r="B77" s="6" t="s">
        <v>73</v>
      </c>
      <c r="C77" s="52"/>
      <c r="D77" s="8">
        <f>ROUND(+D76*$C$47,2)</f>
        <v>0</v>
      </c>
    </row>
    <row r="78" spans="1:4" ht="25.5" x14ac:dyDescent="0.2">
      <c r="A78" s="171" t="s">
        <v>5</v>
      </c>
      <c r="B78" s="30" t="s">
        <v>75</v>
      </c>
      <c r="C78" s="17" t="e">
        <f>+D78/$D$26</f>
        <v>#DIV/0!</v>
      </c>
      <c r="D78" s="8">
        <f>+'Calculo 5x2 12h Arm'!C150</f>
        <v>0</v>
      </c>
    </row>
    <row r="79" spans="1:4" x14ac:dyDescent="0.2">
      <c r="A79" s="108" t="s">
        <v>6</v>
      </c>
      <c r="B79" s="6" t="s">
        <v>71</v>
      </c>
      <c r="C79" s="17" t="e">
        <f>+D79/$D$26</f>
        <v>#DIV/0!</v>
      </c>
      <c r="D79" s="8">
        <f>+'Calculo 5x2 12h Arm'!C158</f>
        <v>0</v>
      </c>
    </row>
    <row r="80" spans="1:4" ht="25.5" x14ac:dyDescent="0.2">
      <c r="A80" s="108" t="s">
        <v>25</v>
      </c>
      <c r="B80" s="30" t="s">
        <v>74</v>
      </c>
      <c r="C80" s="52"/>
      <c r="D80" s="384"/>
    </row>
    <row r="81" spans="1:4" ht="25.5" x14ac:dyDescent="0.2">
      <c r="A81" s="108" t="s">
        <v>26</v>
      </c>
      <c r="B81" s="30" t="s">
        <v>76</v>
      </c>
      <c r="C81" s="17" t="e">
        <f>+D81/$D$26</f>
        <v>#DIV/0!</v>
      </c>
      <c r="D81" s="18">
        <f>+'Calculo 5x2 12h Arm'!C172</f>
        <v>0</v>
      </c>
    </row>
    <row r="82" spans="1:4" x14ac:dyDescent="0.2">
      <c r="A82" s="463" t="s">
        <v>29</v>
      </c>
      <c r="B82" s="464"/>
      <c r="C82" s="465"/>
      <c r="D82" s="32">
        <f>SUM(D76:D81)</f>
        <v>0</v>
      </c>
    </row>
    <row r="84" spans="1:4" x14ac:dyDescent="0.2">
      <c r="A84" s="455" t="s">
        <v>84</v>
      </c>
      <c r="B84" s="455"/>
      <c r="C84" s="455"/>
      <c r="D84" s="455"/>
    </row>
    <row r="86" spans="1:4" x14ac:dyDescent="0.2">
      <c r="A86" s="467" t="s">
        <v>87</v>
      </c>
      <c r="B86" s="467"/>
      <c r="C86" s="467"/>
      <c r="D86" s="467"/>
    </row>
    <row r="87" spans="1:4" x14ac:dyDescent="0.2">
      <c r="A87" s="13" t="s">
        <v>85</v>
      </c>
      <c r="B87" s="463" t="s">
        <v>86</v>
      </c>
      <c r="C87" s="465"/>
      <c r="D87" s="170" t="s">
        <v>24</v>
      </c>
    </row>
    <row r="88" spans="1:4" x14ac:dyDescent="0.2">
      <c r="A88" s="6" t="s">
        <v>3</v>
      </c>
      <c r="B88" s="470" t="s">
        <v>88</v>
      </c>
      <c r="C88" s="471"/>
      <c r="D88" s="8"/>
    </row>
    <row r="89" spans="1:4" x14ac:dyDescent="0.2">
      <c r="A89" s="34" t="s">
        <v>4</v>
      </c>
      <c r="B89" s="488" t="s">
        <v>86</v>
      </c>
      <c r="C89" s="489"/>
      <c r="D89" s="120">
        <f>+'Calculo 5x2 12h Arm'!C185</f>
        <v>0</v>
      </c>
    </row>
    <row r="90" spans="1:4" s="60" customFormat="1" x14ac:dyDescent="0.2">
      <c r="A90" s="34" t="s">
        <v>5</v>
      </c>
      <c r="B90" s="488" t="s">
        <v>89</v>
      </c>
      <c r="C90" s="489"/>
      <c r="D90" s="120">
        <f>+'Calculo 5x2 12h Arm'!C194</f>
        <v>0</v>
      </c>
    </row>
    <row r="91" spans="1:4" s="60" customFormat="1" x14ac:dyDescent="0.2">
      <c r="A91" s="34" t="s">
        <v>6</v>
      </c>
      <c r="B91" s="488" t="s">
        <v>90</v>
      </c>
      <c r="C91" s="489"/>
      <c r="D91" s="120">
        <f>+'Calculo 5x2 12h Arm'!C202</f>
        <v>0</v>
      </c>
    </row>
    <row r="92" spans="1:4" s="60" customFormat="1" ht="13.5" x14ac:dyDescent="0.2">
      <c r="A92" s="34" t="s">
        <v>25</v>
      </c>
      <c r="B92" s="488" t="s">
        <v>287</v>
      </c>
      <c r="C92" s="489"/>
      <c r="D92" s="120"/>
    </row>
    <row r="93" spans="1:4" s="60" customFormat="1" x14ac:dyDescent="0.2">
      <c r="A93" s="34" t="s">
        <v>26</v>
      </c>
      <c r="B93" s="488" t="s">
        <v>93</v>
      </c>
      <c r="C93" s="489"/>
      <c r="D93" s="120">
        <f>+'Calculo 5x2 12h Arm'!C210</f>
        <v>0</v>
      </c>
    </row>
    <row r="94" spans="1:4" x14ac:dyDescent="0.2">
      <c r="A94" s="6" t="s">
        <v>27</v>
      </c>
      <c r="B94" s="470" t="s">
        <v>36</v>
      </c>
      <c r="C94" s="471"/>
      <c r="D94" s="8"/>
    </row>
    <row r="95" spans="1:4" x14ac:dyDescent="0.2">
      <c r="A95" s="6" t="s">
        <v>28</v>
      </c>
      <c r="B95" s="470" t="s">
        <v>94</v>
      </c>
      <c r="C95" s="471"/>
      <c r="D95" s="384"/>
    </row>
    <row r="96" spans="1:4" x14ac:dyDescent="0.2">
      <c r="A96" s="474" t="s">
        <v>29</v>
      </c>
      <c r="B96" s="474"/>
      <c r="C96" s="474"/>
      <c r="D96" s="9">
        <f>SUM(D88:D95)</f>
        <v>0</v>
      </c>
    </row>
    <row r="97" spans="1:4" x14ac:dyDescent="0.2">
      <c r="D97" s="15"/>
    </row>
    <row r="98" spans="1:4" x14ac:dyDescent="0.2">
      <c r="A98" s="13" t="s">
        <v>99</v>
      </c>
      <c r="B98" s="463" t="s">
        <v>92</v>
      </c>
      <c r="C98" s="465"/>
      <c r="D98" s="170" t="s">
        <v>24</v>
      </c>
    </row>
    <row r="99" spans="1:4" s="60" customFormat="1" x14ac:dyDescent="0.2">
      <c r="A99" s="34" t="s">
        <v>3</v>
      </c>
      <c r="B99" s="475" t="s">
        <v>96</v>
      </c>
      <c r="C99" s="476"/>
      <c r="D99" s="120">
        <f>+'Calculo 5x2 12h Arm'!C234</f>
        <v>0</v>
      </c>
    </row>
    <row r="100" spans="1:4" s="60" customFormat="1" ht="31.5" customHeight="1" x14ac:dyDescent="0.2">
      <c r="A100" s="34" t="s">
        <v>4</v>
      </c>
      <c r="B100" s="490" t="s">
        <v>98</v>
      </c>
      <c r="C100" s="491"/>
      <c r="D100" s="384"/>
    </row>
    <row r="101" spans="1:4" s="60" customFormat="1" ht="27" customHeight="1" x14ac:dyDescent="0.2">
      <c r="A101" s="34" t="s">
        <v>5</v>
      </c>
      <c r="B101" s="490" t="s">
        <v>97</v>
      </c>
      <c r="C101" s="491"/>
      <c r="D101" s="384"/>
    </row>
    <row r="102" spans="1:4" x14ac:dyDescent="0.2">
      <c r="A102" s="6" t="s">
        <v>6</v>
      </c>
      <c r="B102" s="470" t="s">
        <v>36</v>
      </c>
      <c r="C102" s="471"/>
      <c r="D102" s="8"/>
    </row>
    <row r="103" spans="1:4" x14ac:dyDescent="0.2">
      <c r="A103" s="474" t="s">
        <v>29</v>
      </c>
      <c r="B103" s="474"/>
      <c r="C103" s="474"/>
      <c r="D103" s="9">
        <f>SUM(D99:D102)</f>
        <v>0</v>
      </c>
    </row>
    <row r="104" spans="1:4" x14ac:dyDescent="0.2">
      <c r="D104" s="15"/>
    </row>
    <row r="105" spans="1:4" x14ac:dyDescent="0.2">
      <c r="A105" s="13" t="s">
        <v>91</v>
      </c>
      <c r="B105" s="474" t="s">
        <v>100</v>
      </c>
      <c r="C105" s="474"/>
      <c r="D105" s="170" t="s">
        <v>24</v>
      </c>
    </row>
    <row r="106" spans="1:4" s="50" customFormat="1" ht="30.75" customHeight="1" x14ac:dyDescent="0.2">
      <c r="A106" s="108" t="s">
        <v>3</v>
      </c>
      <c r="B106" s="492" t="s">
        <v>288</v>
      </c>
      <c r="C106" s="492"/>
      <c r="D106" s="49"/>
    </row>
    <row r="107" spans="1:4" x14ac:dyDescent="0.2">
      <c r="A107" s="474" t="s">
        <v>29</v>
      </c>
      <c r="B107" s="474"/>
      <c r="C107" s="474"/>
      <c r="D107" s="9">
        <f>SUM(D106:D106)</f>
        <v>0</v>
      </c>
    </row>
    <row r="109" spans="1:4" x14ac:dyDescent="0.2">
      <c r="A109" s="173" t="s">
        <v>109</v>
      </c>
      <c r="B109" s="173"/>
      <c r="C109" s="173"/>
      <c r="D109" s="173"/>
    </row>
    <row r="110" spans="1:4" x14ac:dyDescent="0.2">
      <c r="A110" s="6" t="s">
        <v>85</v>
      </c>
      <c r="B110" s="470" t="s">
        <v>86</v>
      </c>
      <c r="C110" s="471"/>
      <c r="D110" s="18">
        <f>+D96</f>
        <v>0</v>
      </c>
    </row>
    <row r="111" spans="1:4" x14ac:dyDescent="0.2">
      <c r="A111" s="6" t="s">
        <v>99</v>
      </c>
      <c r="B111" s="470" t="s">
        <v>92</v>
      </c>
      <c r="C111" s="471"/>
      <c r="D111" s="18">
        <f>+D103</f>
        <v>0</v>
      </c>
    </row>
    <row r="112" spans="1:4" x14ac:dyDescent="0.2">
      <c r="A112" s="74"/>
      <c r="B112" s="472" t="s">
        <v>110</v>
      </c>
      <c r="C112" s="473"/>
      <c r="D112" s="73">
        <f>+D111+D110</f>
        <v>0</v>
      </c>
    </row>
    <row r="113" spans="1:4" x14ac:dyDescent="0.2">
      <c r="A113" s="6" t="s">
        <v>91</v>
      </c>
      <c r="B113" s="470" t="s">
        <v>100</v>
      </c>
      <c r="C113" s="471"/>
      <c r="D113" s="18">
        <f>+D107</f>
        <v>0</v>
      </c>
    </row>
    <row r="114" spans="1:4" x14ac:dyDescent="0.2">
      <c r="A114" s="494" t="s">
        <v>29</v>
      </c>
      <c r="B114" s="494"/>
      <c r="C114" s="494"/>
      <c r="D114" s="71">
        <f>+D113+D112</f>
        <v>0</v>
      </c>
    </row>
    <row r="116" spans="1:4" x14ac:dyDescent="0.2">
      <c r="A116" s="455" t="s">
        <v>151</v>
      </c>
      <c r="B116" s="455"/>
      <c r="C116" s="455"/>
      <c r="D116" s="455"/>
    </row>
    <row r="118" spans="1:4" x14ac:dyDescent="0.2">
      <c r="A118" s="13">
        <v>5</v>
      </c>
      <c r="B118" s="463" t="s">
        <v>152</v>
      </c>
      <c r="C118" s="465"/>
      <c r="D118" s="170" t="s">
        <v>24</v>
      </c>
    </row>
    <row r="119" spans="1:4" x14ac:dyDescent="0.2">
      <c r="A119" s="6" t="s">
        <v>3</v>
      </c>
      <c r="B119" s="388" t="s">
        <v>153</v>
      </c>
      <c r="C119" s="388"/>
      <c r="D119" s="8">
        <f>+Uniforme!G131</f>
        <v>0</v>
      </c>
    </row>
    <row r="120" spans="1:4" x14ac:dyDescent="0.2">
      <c r="A120" s="6" t="s">
        <v>177</v>
      </c>
      <c r="B120" s="34" t="s">
        <v>178</v>
      </c>
      <c r="C120" s="29">
        <f>+$C$138+$C$139</f>
        <v>3.6499999999999998E-2</v>
      </c>
      <c r="D120" s="77">
        <f>+(C120*D119)*-1</f>
        <v>0</v>
      </c>
    </row>
    <row r="121" spans="1:4" x14ac:dyDescent="0.2">
      <c r="A121" s="6" t="s">
        <v>4</v>
      </c>
      <c r="B121" s="388" t="s">
        <v>154</v>
      </c>
      <c r="C121" s="388"/>
      <c r="D121" s="8"/>
    </row>
    <row r="122" spans="1:4" x14ac:dyDescent="0.2">
      <c r="A122" s="6" t="s">
        <v>41</v>
      </c>
      <c r="B122" s="34" t="s">
        <v>178</v>
      </c>
      <c r="C122" s="29">
        <f>+$C$138+$C$139</f>
        <v>3.6499999999999998E-2</v>
      </c>
      <c r="D122" s="77">
        <f>+(C122*D121)*-1</f>
        <v>0</v>
      </c>
    </row>
    <row r="123" spans="1:4" x14ac:dyDescent="0.2">
      <c r="A123" s="6" t="s">
        <v>5</v>
      </c>
      <c r="B123" s="388" t="s">
        <v>155</v>
      </c>
      <c r="C123" s="388"/>
      <c r="D123" s="8">
        <f>+Uniforme!F146</f>
        <v>0</v>
      </c>
    </row>
    <row r="124" spans="1:4" x14ac:dyDescent="0.2">
      <c r="A124" s="6" t="s">
        <v>161</v>
      </c>
      <c r="B124" s="34" t="s">
        <v>178</v>
      </c>
      <c r="C124" s="29">
        <f>+$C$138+$C$139</f>
        <v>3.6499999999999998E-2</v>
      </c>
      <c r="D124" s="77">
        <f>+(C124*D123)*-1</f>
        <v>0</v>
      </c>
    </row>
    <row r="125" spans="1:4" x14ac:dyDescent="0.2">
      <c r="A125" s="6" t="s">
        <v>6</v>
      </c>
      <c r="B125" s="388" t="s">
        <v>36</v>
      </c>
      <c r="C125" s="388"/>
      <c r="D125" s="8"/>
    </row>
    <row r="126" spans="1:4" x14ac:dyDescent="0.2">
      <c r="A126" s="6" t="s">
        <v>179</v>
      </c>
      <c r="B126" s="34" t="s">
        <v>178</v>
      </c>
      <c r="C126" s="29">
        <f>+$C$138+$C$139</f>
        <v>3.6499999999999998E-2</v>
      </c>
      <c r="D126" s="77">
        <f>+(C126*D125)*-1</f>
        <v>0</v>
      </c>
    </row>
    <row r="127" spans="1:4" x14ac:dyDescent="0.2">
      <c r="A127" s="474" t="s">
        <v>29</v>
      </c>
      <c r="B127" s="474"/>
      <c r="C127" s="474"/>
      <c r="D127" s="9">
        <f>SUM(D119:D125)</f>
        <v>0</v>
      </c>
    </row>
    <row r="129" spans="1:4" x14ac:dyDescent="0.2">
      <c r="A129" s="455" t="s">
        <v>156</v>
      </c>
      <c r="B129" s="455"/>
      <c r="C129" s="455"/>
      <c r="D129" s="455"/>
    </row>
    <row r="131" spans="1:4" x14ac:dyDescent="0.2">
      <c r="A131" s="13">
        <v>6</v>
      </c>
      <c r="B131" s="14" t="s">
        <v>157</v>
      </c>
      <c r="C131" s="175" t="s">
        <v>50</v>
      </c>
      <c r="D131" s="170" t="s">
        <v>24</v>
      </c>
    </row>
    <row r="132" spans="1:4" x14ac:dyDescent="0.2">
      <c r="A132" s="116" t="s">
        <v>3</v>
      </c>
      <c r="B132" s="116" t="s">
        <v>158</v>
      </c>
      <c r="C132" s="114">
        <v>0.03</v>
      </c>
      <c r="D132" s="377">
        <f>($D$127+$D$114+$D$82+$D$71+$D$26)*C132</f>
        <v>0</v>
      </c>
    </row>
    <row r="133" spans="1:4" x14ac:dyDescent="0.2">
      <c r="A133" s="116" t="s">
        <v>4</v>
      </c>
      <c r="B133" s="116" t="s">
        <v>159</v>
      </c>
      <c r="C133" s="114">
        <v>0.03</v>
      </c>
      <c r="D133" s="377">
        <f>($D$127+$D$114+$D$82+$D$71+$D$26+D132)*C133</f>
        <v>0</v>
      </c>
    </row>
    <row r="134" spans="1:4" s="79" customFormat="1" x14ac:dyDescent="0.2">
      <c r="A134" s="495" t="s">
        <v>181</v>
      </c>
      <c r="B134" s="496"/>
      <c r="C134" s="497"/>
      <c r="D134" s="81">
        <f>++D133+D132+D127+D114+D82+D71+D26</f>
        <v>0</v>
      </c>
    </row>
    <row r="135" spans="1:4" s="79" customFormat="1" x14ac:dyDescent="0.2">
      <c r="A135" s="498" t="s">
        <v>182</v>
      </c>
      <c r="B135" s="499"/>
      <c r="C135" s="500"/>
      <c r="D135" s="81">
        <f>ROUND(D134/(1-(C138+C139+C141+C143+C144)),2)</f>
        <v>0</v>
      </c>
    </row>
    <row r="136" spans="1:4" x14ac:dyDescent="0.2">
      <c r="A136" s="6" t="s">
        <v>5</v>
      </c>
      <c r="B136" s="6" t="s">
        <v>160</v>
      </c>
      <c r="C136" s="17"/>
      <c r="D136" s="6"/>
    </row>
    <row r="137" spans="1:4" x14ac:dyDescent="0.2">
      <c r="A137" s="6" t="s">
        <v>161</v>
      </c>
      <c r="B137" s="6" t="s">
        <v>162</v>
      </c>
      <c r="C137" s="17"/>
      <c r="D137" s="6"/>
    </row>
    <row r="138" spans="1:4" x14ac:dyDescent="0.2">
      <c r="A138" s="116" t="s">
        <v>163</v>
      </c>
      <c r="B138" s="116" t="s">
        <v>165</v>
      </c>
      <c r="C138" s="114">
        <v>6.4999999999999997E-3</v>
      </c>
      <c r="D138" s="377">
        <f>ROUND(C138*$D$135,2)</f>
        <v>0</v>
      </c>
    </row>
    <row r="139" spans="1:4" x14ac:dyDescent="0.2">
      <c r="A139" s="116" t="s">
        <v>164</v>
      </c>
      <c r="B139" s="116" t="s">
        <v>166</v>
      </c>
      <c r="C139" s="114">
        <v>0.03</v>
      </c>
      <c r="D139" s="377">
        <f>ROUND(C139*$D$135,2)</f>
        <v>0</v>
      </c>
    </row>
    <row r="140" spans="1:4" x14ac:dyDescent="0.2">
      <c r="A140" s="6" t="s">
        <v>167</v>
      </c>
      <c r="B140" s="6" t="s">
        <v>168</v>
      </c>
      <c r="C140" s="17"/>
      <c r="D140" s="18"/>
    </row>
    <row r="141" spans="1:4" x14ac:dyDescent="0.2">
      <c r="A141" s="6" t="s">
        <v>170</v>
      </c>
      <c r="B141" s="6" t="s">
        <v>169</v>
      </c>
      <c r="C141" s="17"/>
      <c r="D141" s="6"/>
    </row>
    <row r="142" spans="1:4" x14ac:dyDescent="0.2">
      <c r="A142" s="6" t="s">
        <v>171</v>
      </c>
      <c r="B142" s="6" t="s">
        <v>172</v>
      </c>
      <c r="C142" s="17"/>
      <c r="D142" s="6"/>
    </row>
    <row r="143" spans="1:4" x14ac:dyDescent="0.2">
      <c r="A143" s="116" t="s">
        <v>173</v>
      </c>
      <c r="B143" s="116" t="s">
        <v>174</v>
      </c>
      <c r="C143" s="114">
        <v>0.05</v>
      </c>
      <c r="D143" s="377">
        <f>ROUND(C143*$D$135,2)</f>
        <v>0</v>
      </c>
    </row>
    <row r="144" spans="1:4" x14ac:dyDescent="0.2">
      <c r="A144" s="6" t="s">
        <v>175</v>
      </c>
      <c r="B144" s="6" t="s">
        <v>176</v>
      </c>
      <c r="C144" s="17"/>
      <c r="D144" s="6"/>
    </row>
    <row r="145" spans="1:4" x14ac:dyDescent="0.2">
      <c r="A145" s="463" t="s">
        <v>29</v>
      </c>
      <c r="B145" s="464"/>
      <c r="C145" s="80">
        <f>+C144+C143+C141+C139+C138+C133+C132</f>
        <v>0.14650000000000002</v>
      </c>
      <c r="D145" s="9">
        <f>+D143+D141+D139+D138+D133+D132</f>
        <v>0</v>
      </c>
    </row>
    <row r="147" spans="1:4" x14ac:dyDescent="0.2">
      <c r="A147" s="501" t="s">
        <v>183</v>
      </c>
      <c r="B147" s="501"/>
      <c r="C147" s="501"/>
      <c r="D147" s="501"/>
    </row>
    <row r="148" spans="1:4" x14ac:dyDescent="0.2">
      <c r="A148" s="6" t="s">
        <v>3</v>
      </c>
      <c r="B148" s="456" t="s">
        <v>185</v>
      </c>
      <c r="C148" s="456"/>
      <c r="D148" s="8">
        <f>+D26</f>
        <v>0</v>
      </c>
    </row>
    <row r="149" spans="1:4" x14ac:dyDescent="0.2">
      <c r="A149" s="6" t="s">
        <v>184</v>
      </c>
      <c r="B149" s="456" t="s">
        <v>186</v>
      </c>
      <c r="C149" s="456"/>
      <c r="D149" s="8">
        <f>+D71</f>
        <v>0</v>
      </c>
    </row>
    <row r="150" spans="1:4" x14ac:dyDescent="0.2">
      <c r="A150" s="6" t="s">
        <v>5</v>
      </c>
      <c r="B150" s="456" t="s">
        <v>187</v>
      </c>
      <c r="C150" s="456"/>
      <c r="D150" s="8">
        <f>+D82</f>
        <v>0</v>
      </c>
    </row>
    <row r="151" spans="1:4" x14ac:dyDescent="0.2">
      <c r="A151" s="6" t="s">
        <v>6</v>
      </c>
      <c r="B151" s="456" t="s">
        <v>188</v>
      </c>
      <c r="C151" s="456"/>
      <c r="D151" s="8">
        <f>+D114</f>
        <v>0</v>
      </c>
    </row>
    <row r="152" spans="1:4" x14ac:dyDescent="0.2">
      <c r="A152" s="6" t="s">
        <v>25</v>
      </c>
      <c r="B152" s="456" t="s">
        <v>189</v>
      </c>
      <c r="C152" s="456"/>
      <c r="D152" s="8">
        <f>+D127</f>
        <v>0</v>
      </c>
    </row>
    <row r="153" spans="1:4" x14ac:dyDescent="0.2">
      <c r="B153" s="457" t="s">
        <v>192</v>
      </c>
      <c r="C153" s="457"/>
      <c r="D153" s="72">
        <f>SUM(D148:D152)</f>
        <v>0</v>
      </c>
    </row>
    <row r="154" spans="1:4" x14ac:dyDescent="0.2">
      <c r="A154" s="6" t="s">
        <v>26</v>
      </c>
      <c r="B154" s="456" t="s">
        <v>190</v>
      </c>
      <c r="C154" s="456"/>
      <c r="D154" s="8">
        <f>+D145</f>
        <v>0</v>
      </c>
    </row>
    <row r="156" spans="1:4" x14ac:dyDescent="0.2">
      <c r="A156" s="524" t="s">
        <v>191</v>
      </c>
      <c r="B156" s="524"/>
      <c r="C156" s="524"/>
      <c r="D156" s="82">
        <f>ROUND(+D154+D153,2)</f>
        <v>0</v>
      </c>
    </row>
    <row r="158" spans="1:4" x14ac:dyDescent="0.2">
      <c r="A158" s="459" t="s">
        <v>77</v>
      </c>
      <c r="B158" s="459"/>
      <c r="C158" s="459"/>
      <c r="D158" s="459"/>
    </row>
    <row r="160" spans="1:4" x14ac:dyDescent="0.2">
      <c r="A160" s="6" t="s">
        <v>3</v>
      </c>
      <c r="B160" s="6" t="s">
        <v>46</v>
      </c>
      <c r="C160" s="44" t="e">
        <f>+C32</f>
        <v>#DIV/0!</v>
      </c>
      <c r="D160" s="8">
        <f>+D32</f>
        <v>0</v>
      </c>
    </row>
    <row r="161" spans="1:5" x14ac:dyDescent="0.2">
      <c r="A161" s="6" t="s">
        <v>4</v>
      </c>
      <c r="B161" s="6" t="s">
        <v>45</v>
      </c>
      <c r="C161" s="44" t="e">
        <f>+C34</f>
        <v>#DIV/0!</v>
      </c>
      <c r="D161" s="8">
        <f>+D34</f>
        <v>0</v>
      </c>
    </row>
    <row r="162" spans="1:5" x14ac:dyDescent="0.2">
      <c r="A162" s="6" t="s">
        <v>5</v>
      </c>
      <c r="B162" s="6" t="s">
        <v>44</v>
      </c>
      <c r="C162" s="44" t="e">
        <f>+C35</f>
        <v>#DIV/0!</v>
      </c>
      <c r="D162" s="8">
        <f>+D35</f>
        <v>0</v>
      </c>
    </row>
    <row r="163" spans="1:5" ht="25.5" x14ac:dyDescent="0.2">
      <c r="A163" s="6" t="s">
        <v>6</v>
      </c>
      <c r="B163" s="30" t="s">
        <v>75</v>
      </c>
      <c r="C163" s="17" t="e">
        <f>+C78</f>
        <v>#DIV/0!</v>
      </c>
      <c r="D163" s="8">
        <f>+D78</f>
        <v>0</v>
      </c>
    </row>
    <row r="164" spans="1:5" ht="25.5" x14ac:dyDescent="0.2">
      <c r="A164" s="6" t="s">
        <v>25</v>
      </c>
      <c r="B164" s="30" t="s">
        <v>76</v>
      </c>
      <c r="C164" s="44" t="e">
        <f>+C81</f>
        <v>#DIV/0!</v>
      </c>
      <c r="D164" s="18">
        <f>+D81</f>
        <v>0</v>
      </c>
    </row>
    <row r="165" spans="1:5" x14ac:dyDescent="0.2">
      <c r="A165" s="6" t="s">
        <v>81</v>
      </c>
      <c r="B165" s="34" t="s">
        <v>79</v>
      </c>
      <c r="C165" s="458" t="e">
        <f>+(D165+D166+D167)/D26</f>
        <v>#DIV/0!</v>
      </c>
      <c r="D165" s="8">
        <f>ROUND(D32*(SUM($C$40:$C$47)),2)</f>
        <v>0</v>
      </c>
    </row>
    <row r="166" spans="1:5" x14ac:dyDescent="0.2">
      <c r="A166" s="6" t="s">
        <v>82</v>
      </c>
      <c r="B166" s="34" t="s">
        <v>78</v>
      </c>
      <c r="C166" s="458"/>
      <c r="D166" s="8">
        <f>ROUND(D34*(SUM($C$40:$C$47)),2)</f>
        <v>0</v>
      </c>
    </row>
    <row r="167" spans="1:5" x14ac:dyDescent="0.2">
      <c r="A167" s="6" t="s">
        <v>83</v>
      </c>
      <c r="B167" s="34" t="s">
        <v>80</v>
      </c>
      <c r="C167" s="458"/>
      <c r="D167" s="8">
        <f>ROUND(D35*(SUM($C$40:$C$47)),2)</f>
        <v>0</v>
      </c>
    </row>
    <row r="168" spans="1:5" x14ac:dyDescent="0.2">
      <c r="A168" s="460" t="s">
        <v>29</v>
      </c>
      <c r="B168" s="461"/>
      <c r="C168" s="462"/>
      <c r="D168" s="45">
        <f>SUM(D160:D167)</f>
        <v>0</v>
      </c>
    </row>
    <row r="169" spans="1:5" x14ac:dyDescent="0.2">
      <c r="B169" s="96"/>
      <c r="C169" s="96"/>
      <c r="D169" s="96"/>
    </row>
    <row r="170" spans="1:5" s="67" customFormat="1" ht="47.25" customHeight="1" x14ac:dyDescent="0.2">
      <c r="A170" s="452" t="s">
        <v>289</v>
      </c>
      <c r="B170" s="452"/>
      <c r="C170" s="452"/>
      <c r="D170" s="452"/>
      <c r="E170" s="128"/>
    </row>
    <row r="171" spans="1:5" x14ac:dyDescent="0.2">
      <c r="A171" s="97"/>
      <c r="B171" s="97"/>
      <c r="C171" s="97"/>
      <c r="D171" s="97"/>
      <c r="E171" s="97"/>
    </row>
    <row r="172" spans="1:5" ht="48" customHeight="1" x14ac:dyDescent="0.2">
      <c r="A172" s="453" t="s">
        <v>290</v>
      </c>
      <c r="B172" s="453"/>
      <c r="C172" s="453"/>
      <c r="D172" s="453"/>
      <c r="E172" s="97"/>
    </row>
    <row r="173" spans="1:5" x14ac:dyDescent="0.2">
      <c r="A173" s="97"/>
      <c r="B173" s="97"/>
      <c r="C173" s="97"/>
      <c r="D173" s="97"/>
      <c r="E173" s="97"/>
    </row>
    <row r="174" spans="1:5" x14ac:dyDescent="0.2">
      <c r="A174" s="97"/>
      <c r="B174" s="97"/>
      <c r="C174" s="97"/>
      <c r="D174" s="97"/>
      <c r="E174" s="97"/>
    </row>
    <row r="175" spans="1:5" x14ac:dyDescent="0.2">
      <c r="A175" s="97"/>
      <c r="B175" s="97"/>
      <c r="C175" s="97"/>
      <c r="D175" s="97"/>
      <c r="E175" s="97"/>
    </row>
    <row r="176" spans="1:5" x14ac:dyDescent="0.2">
      <c r="A176" s="97"/>
      <c r="B176" s="97"/>
      <c r="C176" s="97"/>
      <c r="D176" s="97"/>
      <c r="E176" s="97"/>
    </row>
    <row r="177" spans="1:5" x14ac:dyDescent="0.2">
      <c r="A177" s="97"/>
      <c r="B177" s="97"/>
      <c r="C177" s="97"/>
      <c r="D177" s="97"/>
      <c r="E177" s="97"/>
    </row>
    <row r="178" spans="1:5" x14ac:dyDescent="0.2">
      <c r="A178" s="97"/>
      <c r="B178" s="97"/>
      <c r="C178" s="97"/>
      <c r="D178" s="97"/>
      <c r="E178" s="97"/>
    </row>
    <row r="179" spans="1:5" x14ac:dyDescent="0.2">
      <c r="A179" s="97"/>
      <c r="B179" s="97"/>
      <c r="C179" s="97"/>
      <c r="D179" s="97"/>
      <c r="E179" s="97"/>
    </row>
    <row r="180" spans="1:5" x14ac:dyDescent="0.2">
      <c r="A180" s="97"/>
      <c r="B180" s="97"/>
      <c r="C180" s="97"/>
      <c r="D180" s="97"/>
      <c r="E180" s="97"/>
    </row>
    <row r="181" spans="1:5" x14ac:dyDescent="0.2">
      <c r="A181" s="97"/>
      <c r="B181" s="97"/>
      <c r="C181" s="97"/>
      <c r="D181" s="97"/>
      <c r="E181" s="97"/>
    </row>
    <row r="182" spans="1:5" x14ac:dyDescent="0.2">
      <c r="A182" s="97"/>
      <c r="B182" s="97"/>
      <c r="C182" s="97"/>
      <c r="D182" s="97"/>
      <c r="E182" s="97"/>
    </row>
    <row r="183" spans="1:5" x14ac:dyDescent="0.2">
      <c r="A183" s="97"/>
      <c r="B183" s="97"/>
      <c r="C183" s="97"/>
      <c r="D183" s="97"/>
      <c r="E183" s="97"/>
    </row>
    <row r="184" spans="1:5" x14ac:dyDescent="0.2">
      <c r="A184" s="97"/>
      <c r="B184" s="97"/>
      <c r="C184" s="97"/>
      <c r="D184" s="97"/>
      <c r="E184" s="97"/>
    </row>
    <row r="185" spans="1:5" x14ac:dyDescent="0.2">
      <c r="A185" s="97"/>
      <c r="B185" s="97"/>
      <c r="C185" s="97"/>
      <c r="D185" s="97"/>
      <c r="E185" s="97"/>
    </row>
    <row r="186" spans="1:5" x14ac:dyDescent="0.2">
      <c r="A186" s="97"/>
      <c r="B186" s="97"/>
      <c r="C186" s="97"/>
      <c r="D186" s="97"/>
      <c r="E186" s="97"/>
    </row>
  </sheetData>
  <mergeCells count="84">
    <mergeCell ref="A168:C168"/>
    <mergeCell ref="A170:D170"/>
    <mergeCell ref="B150:C150"/>
    <mergeCell ref="B151:C151"/>
    <mergeCell ref="B152:C152"/>
    <mergeCell ref="B153:C153"/>
    <mergeCell ref="B154:C154"/>
    <mergeCell ref="A172:D172"/>
    <mergeCell ref="B149:C149"/>
    <mergeCell ref="B119:C119"/>
    <mergeCell ref="B121:C121"/>
    <mergeCell ref="B123:C123"/>
    <mergeCell ref="B125:C125"/>
    <mergeCell ref="A127:C127"/>
    <mergeCell ref="A129:D129"/>
    <mergeCell ref="A134:C134"/>
    <mergeCell ref="A135:C135"/>
    <mergeCell ref="A145:B145"/>
    <mergeCell ref="A147:D147"/>
    <mergeCell ref="B148:C148"/>
    <mergeCell ref="A156:C156"/>
    <mergeCell ref="A158:D158"/>
    <mergeCell ref="C165:C167"/>
    <mergeCell ref="B118:C118"/>
    <mergeCell ref="B102:C102"/>
    <mergeCell ref="A103:C103"/>
    <mergeCell ref="B105:C105"/>
    <mergeCell ref="B106:C106"/>
    <mergeCell ref="A107:C107"/>
    <mergeCell ref="B110:C110"/>
    <mergeCell ref="B111:C111"/>
    <mergeCell ref="B112:C112"/>
    <mergeCell ref="B113:C113"/>
    <mergeCell ref="A114:C114"/>
    <mergeCell ref="A116:D116"/>
    <mergeCell ref="B101:C101"/>
    <mergeCell ref="B89:C89"/>
    <mergeCell ref="B90:C90"/>
    <mergeCell ref="B91:C91"/>
    <mergeCell ref="B92:C92"/>
    <mergeCell ref="B93:C93"/>
    <mergeCell ref="B94:C94"/>
    <mergeCell ref="B95:C95"/>
    <mergeCell ref="A96:C96"/>
    <mergeCell ref="B98:C98"/>
    <mergeCell ref="B99:C99"/>
    <mergeCell ref="B100:C100"/>
    <mergeCell ref="B88:C88"/>
    <mergeCell ref="A66:D66"/>
    <mergeCell ref="B67:C67"/>
    <mergeCell ref="B68:C68"/>
    <mergeCell ref="B69:C69"/>
    <mergeCell ref="B70:C70"/>
    <mergeCell ref="A71:C71"/>
    <mergeCell ref="A73:D73"/>
    <mergeCell ref="A82:C82"/>
    <mergeCell ref="A84:D84"/>
    <mergeCell ref="A86:D86"/>
    <mergeCell ref="B87:C87"/>
    <mergeCell ref="A64:B64"/>
    <mergeCell ref="B20:C20"/>
    <mergeCell ref="B21:C21"/>
    <mergeCell ref="B23:C23"/>
    <mergeCell ref="B25:C25"/>
    <mergeCell ref="A26:C26"/>
    <mergeCell ref="A28:D28"/>
    <mergeCell ref="B24:C24"/>
    <mergeCell ref="A30:D30"/>
    <mergeCell ref="A36:C36"/>
    <mergeCell ref="A38:D38"/>
    <mergeCell ref="A50:D50"/>
    <mergeCell ref="B62:C62"/>
    <mergeCell ref="B19:C19"/>
    <mergeCell ref="A1:D1"/>
    <mergeCell ref="A5:D5"/>
    <mergeCell ref="C6:D6"/>
    <mergeCell ref="C7:D7"/>
    <mergeCell ref="C8:D8"/>
    <mergeCell ref="C9:D9"/>
    <mergeCell ref="C10:D10"/>
    <mergeCell ref="A12:D12"/>
    <mergeCell ref="B14:C14"/>
    <mergeCell ref="B17:C17"/>
    <mergeCell ref="B18:C18"/>
  </mergeCells>
  <pageMargins left="1.06" right="0.08" top="0.43" bottom="0.78740157480314965" header="0.31496062992125984" footer="0.31496062992125984"/>
  <pageSetup paperSize="9" scale="90" orientation="portrait" r:id="rId1"/>
  <headerFooter>
    <oddFooter>&amp;A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tabColor theme="7" tint="-0.249977111117893"/>
  </sheetPr>
  <dimension ref="A1:D244"/>
  <sheetViews>
    <sheetView workbookViewId="0">
      <selection activeCell="B22" sqref="B22"/>
    </sheetView>
  </sheetViews>
  <sheetFormatPr defaultRowHeight="12.75" x14ac:dyDescent="0.2"/>
  <cols>
    <col min="1" max="1" width="64.5" customWidth="1"/>
    <col min="2" max="3" width="12.25" bestFit="1" customWidth="1"/>
    <col min="4" max="4" width="9.375" bestFit="1" customWidth="1"/>
    <col min="5" max="5" width="69.125" customWidth="1"/>
  </cols>
  <sheetData>
    <row r="1" spans="1:3" ht="16.5" x14ac:dyDescent="0.25">
      <c r="A1" s="502" t="s">
        <v>359</v>
      </c>
      <c r="B1" s="502"/>
      <c r="C1" s="502"/>
    </row>
    <row r="3" spans="1:3" x14ac:dyDescent="0.2">
      <c r="A3" s="6" t="s">
        <v>345</v>
      </c>
      <c r="B3" s="6">
        <v>220</v>
      </c>
    </row>
    <row r="4" spans="1:3" x14ac:dyDescent="0.2">
      <c r="A4" s="6" t="s">
        <v>228</v>
      </c>
      <c r="B4" s="6">
        <v>365.25</v>
      </c>
    </row>
    <row r="5" spans="1:3" x14ac:dyDescent="0.2">
      <c r="A5" s="6" t="s">
        <v>230</v>
      </c>
      <c r="B5" s="51">
        <f>(365.25/12)/(7/5)</f>
        <v>21.741071428571431</v>
      </c>
    </row>
    <row r="6" spans="1:3" x14ac:dyDescent="0.2">
      <c r="A6" s="34" t="s">
        <v>30</v>
      </c>
      <c r="B6" s="18">
        <f>+'Vigilante 5x2 12h Arm'!D14</f>
        <v>0</v>
      </c>
    </row>
    <row r="7" spans="1:3" x14ac:dyDescent="0.2">
      <c r="A7" s="34" t="s">
        <v>241</v>
      </c>
      <c r="B7" s="18">
        <f>+'Vigilante 5x2 12h Arm'!D26</f>
        <v>0</v>
      </c>
    </row>
    <row r="9" spans="1:3" x14ac:dyDescent="0.2">
      <c r="A9" s="503" t="s">
        <v>209</v>
      </c>
      <c r="B9" s="503"/>
      <c r="C9" s="503"/>
    </row>
    <row r="10" spans="1:3" x14ac:dyDescent="0.2">
      <c r="A10" s="6" t="s">
        <v>30</v>
      </c>
      <c r="B10" s="52"/>
      <c r="C10" s="90">
        <f>+'Vigilante 5x2 12h Arm'!D14</f>
        <v>0</v>
      </c>
    </row>
    <row r="11" spans="1:3" x14ac:dyDescent="0.2">
      <c r="A11" s="6" t="s">
        <v>31</v>
      </c>
      <c r="B11" s="52"/>
      <c r="C11" s="90">
        <f>+'Vigilante 5x2 12h Arm'!D15</f>
        <v>0</v>
      </c>
    </row>
    <row r="12" spans="1:3" x14ac:dyDescent="0.2">
      <c r="A12" s="6" t="s">
        <v>32</v>
      </c>
      <c r="B12" s="52"/>
      <c r="C12" s="90">
        <f>+'Vigilante 5x2 12h Arm'!D16</f>
        <v>0</v>
      </c>
    </row>
    <row r="13" spans="1:3" x14ac:dyDescent="0.2">
      <c r="A13" s="6" t="s">
        <v>33</v>
      </c>
      <c r="B13" s="52"/>
      <c r="C13" s="90">
        <f>+'Vigilante 5x2 12h Arm'!D17</f>
        <v>0</v>
      </c>
    </row>
    <row r="14" spans="1:3" x14ac:dyDescent="0.2">
      <c r="A14" s="6" t="s">
        <v>34</v>
      </c>
      <c r="B14" s="52"/>
      <c r="C14" s="90">
        <f>+'Vigilante 5x2 12h Arm'!D18</f>
        <v>0</v>
      </c>
    </row>
    <row r="15" spans="1:3" x14ac:dyDescent="0.2">
      <c r="A15" t="s">
        <v>65</v>
      </c>
      <c r="B15" s="52"/>
      <c r="C15" s="90">
        <f>+'Vigilante 5x2 12h Arm'!D22</f>
        <v>0</v>
      </c>
    </row>
    <row r="16" spans="1:3" x14ac:dyDescent="0.2">
      <c r="A16" s="6" t="s">
        <v>344</v>
      </c>
      <c r="B16" s="52"/>
      <c r="C16" s="90">
        <f>+'Vigilante 5x2 12h Arm'!D24</f>
        <v>0</v>
      </c>
    </row>
    <row r="17" spans="1:3" x14ac:dyDescent="0.2">
      <c r="A17" s="35" t="s">
        <v>193</v>
      </c>
      <c r="B17" s="101"/>
      <c r="C17" s="102">
        <f>SUM(C10:C16)</f>
        <v>0</v>
      </c>
    </row>
    <row r="18" spans="1:3" x14ac:dyDescent="0.2">
      <c r="A18" s="6" t="s">
        <v>102</v>
      </c>
      <c r="B18" s="57">
        <f>+B3</f>
        <v>220</v>
      </c>
      <c r="C18" s="54"/>
    </row>
    <row r="19" spans="1:3" x14ac:dyDescent="0.2">
      <c r="A19" s="35" t="s">
        <v>103</v>
      </c>
      <c r="B19" s="101"/>
      <c r="C19" s="36">
        <f>+C17/B18</f>
        <v>0</v>
      </c>
    </row>
    <row r="20" spans="1:3" x14ac:dyDescent="0.2">
      <c r="A20" s="6" t="s">
        <v>197</v>
      </c>
      <c r="B20" s="6">
        <v>12</v>
      </c>
      <c r="C20" s="54"/>
    </row>
    <row r="21" spans="1:3" x14ac:dyDescent="0.2">
      <c r="A21" s="6" t="s">
        <v>198</v>
      </c>
      <c r="B21" s="6">
        <v>10</v>
      </c>
      <c r="C21" s="54"/>
    </row>
    <row r="22" spans="1:3" x14ac:dyDescent="0.2">
      <c r="A22" s="6" t="s">
        <v>199</v>
      </c>
      <c r="B22" s="6">
        <f>+B21*B20</f>
        <v>120</v>
      </c>
      <c r="C22" s="8">
        <f>+B22*C19</f>
        <v>0</v>
      </c>
    </row>
    <row r="23" spans="1:3" x14ac:dyDescent="0.2">
      <c r="A23" s="6" t="s">
        <v>200</v>
      </c>
      <c r="B23" s="17">
        <v>1</v>
      </c>
      <c r="C23" s="8">
        <f>+B23*C22</f>
        <v>0</v>
      </c>
    </row>
    <row r="24" spans="1:3" x14ac:dyDescent="0.2">
      <c r="A24" s="6" t="s">
        <v>201</v>
      </c>
      <c r="B24" s="17">
        <v>1</v>
      </c>
      <c r="C24" s="8">
        <f>+B24*C23</f>
        <v>0</v>
      </c>
    </row>
    <row r="25" spans="1:3" x14ac:dyDescent="0.2">
      <c r="A25" s="6" t="s">
        <v>202</v>
      </c>
      <c r="B25" s="6">
        <v>12</v>
      </c>
      <c r="C25" s="91"/>
    </row>
    <row r="26" spans="1:3" x14ac:dyDescent="0.2">
      <c r="A26" s="504" t="s">
        <v>203</v>
      </c>
      <c r="B26" s="505"/>
      <c r="C26" s="45">
        <f>+C24/B25</f>
        <v>0</v>
      </c>
    </row>
    <row r="27" spans="1:3" x14ac:dyDescent="0.2">
      <c r="C27" s="15"/>
    </row>
    <row r="28" spans="1:3" x14ac:dyDescent="0.2">
      <c r="A28" s="503" t="s">
        <v>210</v>
      </c>
      <c r="B28" s="503"/>
      <c r="C28" s="503"/>
    </row>
    <row r="29" spans="1:3" x14ac:dyDescent="0.2">
      <c r="A29" s="6" t="s">
        <v>103</v>
      </c>
      <c r="B29" s="52"/>
      <c r="C29" s="90">
        <f>+C19</f>
        <v>0</v>
      </c>
    </row>
    <row r="30" spans="1:3" x14ac:dyDescent="0.2">
      <c r="A30" s="6" t="s">
        <v>199</v>
      </c>
      <c r="B30" s="6">
        <v>192</v>
      </c>
      <c r="C30" s="54"/>
    </row>
    <row r="31" spans="1:3" x14ac:dyDescent="0.2">
      <c r="A31" s="6" t="s">
        <v>204</v>
      </c>
      <c r="B31" s="6">
        <f>+$B$4</f>
        <v>365.25</v>
      </c>
      <c r="C31" s="54"/>
    </row>
    <row r="32" spans="1:3" x14ac:dyDescent="0.2">
      <c r="A32" s="6" t="s">
        <v>197</v>
      </c>
      <c r="B32" s="6">
        <v>12</v>
      </c>
      <c r="C32" s="54"/>
    </row>
    <row r="33" spans="1:3" x14ac:dyDescent="0.2">
      <c r="A33" s="6" t="s">
        <v>200</v>
      </c>
      <c r="B33" s="17">
        <v>1</v>
      </c>
      <c r="C33" s="54"/>
    </row>
    <row r="34" spans="1:3" x14ac:dyDescent="0.2">
      <c r="A34" s="6" t="s">
        <v>205</v>
      </c>
      <c r="B34" s="92">
        <f>ROUND(((B31/7)*6)-B32,2)</f>
        <v>301.07</v>
      </c>
      <c r="C34" s="54"/>
    </row>
    <row r="35" spans="1:3" x14ac:dyDescent="0.2">
      <c r="A35" s="6" t="s">
        <v>206</v>
      </c>
      <c r="B35" s="34">
        <v>12</v>
      </c>
      <c r="C35" s="54"/>
    </row>
    <row r="36" spans="1:3" ht="25.5" x14ac:dyDescent="0.2">
      <c r="A36" s="30" t="s">
        <v>207</v>
      </c>
      <c r="B36" s="6">
        <f>+((B30/B35)*B33)/B34</f>
        <v>5.3143787159132427E-2</v>
      </c>
      <c r="C36" s="54"/>
    </row>
    <row r="37" spans="1:3" x14ac:dyDescent="0.2">
      <c r="A37" s="24" t="s">
        <v>208</v>
      </c>
      <c r="B37" s="24"/>
      <c r="C37" s="45">
        <f>+C29*(B31-B34)*B36</f>
        <v>0</v>
      </c>
    </row>
    <row r="38" spans="1:3" x14ac:dyDescent="0.2">
      <c r="C38" s="15"/>
    </row>
    <row r="39" spans="1:3" x14ac:dyDescent="0.2">
      <c r="A39" s="503" t="s">
        <v>343</v>
      </c>
      <c r="B39" s="503"/>
      <c r="C39" s="503"/>
    </row>
    <row r="40" spans="1:3" x14ac:dyDescent="0.2">
      <c r="A40" s="6" t="s">
        <v>30</v>
      </c>
      <c r="B40" s="52"/>
      <c r="C40" s="90">
        <f>+B6</f>
        <v>0</v>
      </c>
    </row>
    <row r="41" spans="1:3" x14ac:dyDescent="0.2">
      <c r="A41" s="6" t="s">
        <v>102</v>
      </c>
      <c r="B41" s="57">
        <f>+B3</f>
        <v>220</v>
      </c>
      <c r="C41" s="54"/>
    </row>
    <row r="42" spans="1:3" x14ac:dyDescent="0.2">
      <c r="A42" s="35" t="s">
        <v>103</v>
      </c>
      <c r="B42" s="101"/>
      <c r="C42" s="36">
        <f>+C40/B41</f>
        <v>0</v>
      </c>
    </row>
    <row r="43" spans="1:3" s="60" customFormat="1" x14ac:dyDescent="0.2">
      <c r="A43" s="6" t="s">
        <v>351</v>
      </c>
      <c r="B43" s="17">
        <v>0.5</v>
      </c>
      <c r="C43" s="181"/>
    </row>
    <row r="44" spans="1:3" s="60" customFormat="1" x14ac:dyDescent="0.2">
      <c r="A44" s="35" t="s">
        <v>352</v>
      </c>
      <c r="B44" s="104"/>
      <c r="C44" s="181">
        <f>+C42*(1+B43)</f>
        <v>0</v>
      </c>
    </row>
    <row r="45" spans="1:3" x14ac:dyDescent="0.2">
      <c r="A45" s="34" t="s">
        <v>346</v>
      </c>
      <c r="B45" s="6">
        <v>10</v>
      </c>
      <c r="C45" s="54"/>
    </row>
    <row r="46" spans="1:3" x14ac:dyDescent="0.2">
      <c r="A46" s="6" t="s">
        <v>230</v>
      </c>
      <c r="B46" s="180">
        <f>+B5</f>
        <v>21.741071428571431</v>
      </c>
      <c r="C46" s="54"/>
    </row>
    <row r="47" spans="1:3" x14ac:dyDescent="0.2">
      <c r="A47" s="34" t="s">
        <v>347</v>
      </c>
      <c r="B47" s="6">
        <v>192</v>
      </c>
      <c r="C47" s="54"/>
    </row>
    <row r="48" spans="1:3" x14ac:dyDescent="0.2">
      <c r="A48" s="34" t="s">
        <v>348</v>
      </c>
      <c r="B48" s="6">
        <f>ROUND(+B46*B45,2)</f>
        <v>217.41</v>
      </c>
      <c r="C48" s="54"/>
    </row>
    <row r="49" spans="1:3" x14ac:dyDescent="0.2">
      <c r="A49" s="34" t="s">
        <v>349</v>
      </c>
      <c r="B49" s="6">
        <f>+B48-B47</f>
        <v>25.409999999999997</v>
      </c>
      <c r="C49" s="54"/>
    </row>
    <row r="50" spans="1:3" x14ac:dyDescent="0.2">
      <c r="A50" s="24" t="s">
        <v>350</v>
      </c>
      <c r="B50" s="24"/>
      <c r="C50" s="45">
        <f>+B49*C44</f>
        <v>0</v>
      </c>
    </row>
    <row r="51" spans="1:3" x14ac:dyDescent="0.2">
      <c r="C51" s="15"/>
    </row>
    <row r="52" spans="1:3" x14ac:dyDescent="0.2">
      <c r="A52" s="459" t="s">
        <v>107</v>
      </c>
      <c r="B52" s="459"/>
      <c r="C52" s="459"/>
    </row>
    <row r="53" spans="1:3" x14ac:dyDescent="0.2">
      <c r="A53" s="55" t="s">
        <v>30</v>
      </c>
      <c r="B53" s="86"/>
      <c r="C53" s="56">
        <f>+'Vigilante 5x2 12h Arm'!D14</f>
        <v>0</v>
      </c>
    </row>
    <row r="54" spans="1:3" x14ac:dyDescent="0.2">
      <c r="A54" s="55" t="s">
        <v>31</v>
      </c>
      <c r="B54" s="58"/>
      <c r="C54" s="56">
        <f>+'Vigilante 5x2 12h Arm'!D15</f>
        <v>0</v>
      </c>
    </row>
    <row r="55" spans="1:3" x14ac:dyDescent="0.2">
      <c r="A55" s="55" t="s">
        <v>32</v>
      </c>
      <c r="B55" s="58"/>
      <c r="C55" s="56">
        <f>+'Vigilante 5x2 12h Arm'!D16</f>
        <v>0</v>
      </c>
    </row>
    <row r="56" spans="1:3" x14ac:dyDescent="0.2">
      <c r="A56" s="55" t="s">
        <v>33</v>
      </c>
      <c r="B56" s="58"/>
      <c r="C56" s="56">
        <f>+'Vigilante 5x2 12h Arm'!D17</f>
        <v>0</v>
      </c>
    </row>
    <row r="57" spans="1:3" x14ac:dyDescent="0.2">
      <c r="A57" s="55" t="s">
        <v>34</v>
      </c>
      <c r="B57" s="58"/>
      <c r="C57" s="56">
        <f>+'Vigilante 5x2 12h Arm'!D18</f>
        <v>0</v>
      </c>
    </row>
    <row r="58" spans="1:3" x14ac:dyDescent="0.2">
      <c r="A58" s="55" t="s">
        <v>35</v>
      </c>
      <c r="B58" s="58"/>
      <c r="C58" s="56">
        <f>+'Vigilante 5x2 12h Arm'!D20</f>
        <v>0</v>
      </c>
    </row>
    <row r="59" spans="1:3" x14ac:dyDescent="0.2">
      <c r="A59" s="55" t="s">
        <v>65</v>
      </c>
      <c r="B59" s="58"/>
      <c r="C59" s="56">
        <f>+'Vigilante 5x2 12h Arm'!D22</f>
        <v>0</v>
      </c>
    </row>
    <row r="60" spans="1:3" x14ac:dyDescent="0.2">
      <c r="A60" s="35" t="s">
        <v>101</v>
      </c>
      <c r="B60" s="99"/>
      <c r="C60" s="100">
        <f>SUM(C53:C59)</f>
        <v>0</v>
      </c>
    </row>
    <row r="61" spans="1:3" x14ac:dyDescent="0.2">
      <c r="A61" s="6" t="s">
        <v>102</v>
      </c>
      <c r="B61" s="57">
        <f>+B3</f>
        <v>220</v>
      </c>
      <c r="C61" s="58"/>
    </row>
    <row r="62" spans="1:3" x14ac:dyDescent="0.2">
      <c r="A62" s="6" t="s">
        <v>103</v>
      </c>
      <c r="B62" s="58"/>
      <c r="C62" s="59">
        <f>ROUND(+C60/B61,2)</f>
        <v>0</v>
      </c>
    </row>
    <row r="63" spans="1:3" x14ac:dyDescent="0.2">
      <c r="A63" s="6" t="s">
        <v>229</v>
      </c>
      <c r="B63" s="51">
        <f>(365.25/12)/(7/5)</f>
        <v>21.741071428571431</v>
      </c>
      <c r="C63" s="58"/>
    </row>
    <row r="64" spans="1:3" x14ac:dyDescent="0.2">
      <c r="A64" s="6" t="s">
        <v>105</v>
      </c>
      <c r="B64" s="17">
        <v>0.5</v>
      </c>
      <c r="C64" s="6"/>
    </row>
    <row r="65" spans="1:3" x14ac:dyDescent="0.2">
      <c r="A65" s="504" t="s">
        <v>106</v>
      </c>
      <c r="B65" s="505"/>
      <c r="C65" s="45">
        <f>ROUND((B63*C62)*(1+B64),2)</f>
        <v>0</v>
      </c>
    </row>
    <row r="67" spans="1:3" x14ac:dyDescent="0.2">
      <c r="A67" s="459" t="s">
        <v>212</v>
      </c>
      <c r="B67" s="459"/>
      <c r="C67" s="459"/>
    </row>
    <row r="68" spans="1:3" x14ac:dyDescent="0.2">
      <c r="A68" s="6" t="s">
        <v>204</v>
      </c>
      <c r="B68" s="6">
        <v>365.25</v>
      </c>
      <c r="C68" s="52"/>
    </row>
    <row r="69" spans="1:3" x14ac:dyDescent="0.2">
      <c r="A69" s="6" t="s">
        <v>206</v>
      </c>
      <c r="B69" s="34">
        <v>12</v>
      </c>
      <c r="C69" s="52"/>
    </row>
    <row r="70" spans="1:3" x14ac:dyDescent="0.2">
      <c r="A70" s="6" t="s">
        <v>213</v>
      </c>
      <c r="B70" s="17">
        <v>1</v>
      </c>
      <c r="C70" s="52"/>
    </row>
    <row r="71" spans="1:3" x14ac:dyDescent="0.2">
      <c r="A71" s="103" t="s">
        <v>448</v>
      </c>
      <c r="B71" s="34">
        <v>7</v>
      </c>
      <c r="C71" s="52"/>
    </row>
    <row r="72" spans="1:3" x14ac:dyDescent="0.2">
      <c r="A72" s="34" t="s">
        <v>214</v>
      </c>
      <c r="B72" s="52"/>
      <c r="C72" s="18">
        <f>+'Vigilante 5x2 12h Arm'!$D$14</f>
        <v>0</v>
      </c>
    </row>
    <row r="73" spans="1:3" x14ac:dyDescent="0.2">
      <c r="A73" s="34" t="s">
        <v>31</v>
      </c>
      <c r="B73" s="52"/>
      <c r="C73" s="18">
        <f>+'Vigilante 5x2 12h Arm'!$D$15</f>
        <v>0</v>
      </c>
    </row>
    <row r="74" spans="1:3" x14ac:dyDescent="0.2">
      <c r="A74" s="34" t="s">
        <v>32</v>
      </c>
      <c r="B74" s="52"/>
      <c r="C74" s="18">
        <f>+'Vigilante 5x2 12h Arm'!$D$16</f>
        <v>0</v>
      </c>
    </row>
    <row r="75" spans="1:3" x14ac:dyDescent="0.2">
      <c r="A75" s="104" t="s">
        <v>193</v>
      </c>
      <c r="B75" s="52"/>
      <c r="C75" s="105">
        <f>SUM(C72:C74)</f>
        <v>0</v>
      </c>
    </row>
    <row r="76" spans="1:3" x14ac:dyDescent="0.2">
      <c r="A76" s="6" t="s">
        <v>102</v>
      </c>
      <c r="B76" s="106">
        <f>+B3</f>
        <v>220</v>
      </c>
      <c r="C76" s="52"/>
    </row>
    <row r="77" spans="1:3" x14ac:dyDescent="0.2">
      <c r="A77" s="34" t="s">
        <v>215</v>
      </c>
      <c r="B77" s="17">
        <v>0.2</v>
      </c>
      <c r="C77" s="52"/>
    </row>
    <row r="78" spans="1:3" x14ac:dyDescent="0.2">
      <c r="A78" s="34" t="s">
        <v>216</v>
      </c>
      <c r="B78" s="52"/>
      <c r="C78" s="8">
        <f>ROUND((C75/B76)*B77,2)</f>
        <v>0</v>
      </c>
    </row>
    <row r="79" spans="1:3" x14ac:dyDescent="0.2">
      <c r="A79" s="34" t="s">
        <v>217</v>
      </c>
      <c r="B79" s="6">
        <f>ROUND(+B68/B69*B70*B71,0)</f>
        <v>213</v>
      </c>
      <c r="C79" s="53"/>
    </row>
    <row r="80" spans="1:3" x14ac:dyDescent="0.2">
      <c r="A80" s="506" t="s">
        <v>218</v>
      </c>
      <c r="B80" s="506"/>
      <c r="C80" s="32">
        <f>ROUND(+B79*C78,2)</f>
        <v>0</v>
      </c>
    </row>
    <row r="82" spans="1:4" x14ac:dyDescent="0.2">
      <c r="A82" s="503" t="s">
        <v>232</v>
      </c>
      <c r="B82" s="503"/>
      <c r="C82" s="503"/>
    </row>
    <row r="83" spans="1:4" x14ac:dyDescent="0.2">
      <c r="A83" s="6" t="s">
        <v>103</v>
      </c>
      <c r="B83" s="52"/>
      <c r="C83" s="90">
        <f>+C80</f>
        <v>0</v>
      </c>
    </row>
    <row r="84" spans="1:4" x14ac:dyDescent="0.2">
      <c r="A84" s="6" t="s">
        <v>199</v>
      </c>
      <c r="B84" s="6">
        <v>192</v>
      </c>
      <c r="C84" s="54"/>
    </row>
    <row r="85" spans="1:4" x14ac:dyDescent="0.2">
      <c r="A85" s="6" t="s">
        <v>204</v>
      </c>
      <c r="B85" s="6">
        <f>+$B$4</f>
        <v>365.25</v>
      </c>
      <c r="C85" s="54"/>
    </row>
    <row r="86" spans="1:4" x14ac:dyDescent="0.2">
      <c r="A86" s="6" t="s">
        <v>197</v>
      </c>
      <c r="B86" s="6">
        <v>12</v>
      </c>
      <c r="C86" s="54"/>
    </row>
    <row r="87" spans="1:4" x14ac:dyDescent="0.2">
      <c r="A87" s="6" t="s">
        <v>200</v>
      </c>
      <c r="B87" s="17">
        <v>1</v>
      </c>
      <c r="C87" s="54"/>
    </row>
    <row r="88" spans="1:4" x14ac:dyDescent="0.2">
      <c r="A88" s="6" t="s">
        <v>205</v>
      </c>
      <c r="B88" s="92">
        <f>ROUND(((B85/7)*6)-B86,2)</f>
        <v>301.07</v>
      </c>
      <c r="C88" s="54"/>
    </row>
    <row r="89" spans="1:4" x14ac:dyDescent="0.2">
      <c r="A89" s="6" t="s">
        <v>206</v>
      </c>
      <c r="B89" s="34">
        <v>12</v>
      </c>
      <c r="C89" s="54"/>
    </row>
    <row r="90" spans="1:4" ht="25.5" x14ac:dyDescent="0.2">
      <c r="A90" s="30" t="s">
        <v>207</v>
      </c>
      <c r="B90" s="6">
        <f>+((B84/B89)*B87)/B88</f>
        <v>5.3143787159132427E-2</v>
      </c>
      <c r="C90" s="54"/>
    </row>
    <row r="91" spans="1:4" x14ac:dyDescent="0.2">
      <c r="A91" s="24" t="s">
        <v>208</v>
      </c>
      <c r="B91" s="24"/>
      <c r="C91" s="45">
        <f>+C83/B84*(B85-B88)*B90</f>
        <v>0</v>
      </c>
    </row>
    <row r="93" spans="1:4" x14ac:dyDescent="0.2">
      <c r="A93" s="459" t="s">
        <v>219</v>
      </c>
      <c r="B93" s="459"/>
      <c r="C93" s="459"/>
    </row>
    <row r="94" spans="1:4" x14ac:dyDescent="0.2">
      <c r="A94" s="6" t="s">
        <v>204</v>
      </c>
      <c r="B94" s="6">
        <f>+$B$4</f>
        <v>365.25</v>
      </c>
      <c r="C94" s="52"/>
    </row>
    <row r="95" spans="1:4" x14ac:dyDescent="0.2">
      <c r="A95" s="6" t="s">
        <v>206</v>
      </c>
      <c r="B95" s="34">
        <v>12</v>
      </c>
      <c r="C95" s="52"/>
    </row>
    <row r="96" spans="1:4" x14ac:dyDescent="0.2">
      <c r="A96" s="6" t="s">
        <v>213</v>
      </c>
      <c r="B96" s="17">
        <v>1</v>
      </c>
      <c r="C96" s="52"/>
      <c r="D96" s="109"/>
    </row>
    <row r="97" spans="1:4" x14ac:dyDescent="0.2">
      <c r="A97" s="103" t="s">
        <v>448</v>
      </c>
      <c r="B97" s="34">
        <v>7</v>
      </c>
      <c r="C97" s="52"/>
      <c r="D97" s="109"/>
    </row>
    <row r="98" spans="1:4" x14ac:dyDescent="0.2">
      <c r="A98" s="34" t="s">
        <v>220</v>
      </c>
      <c r="B98" s="51">
        <f>(365.25/12)/(7/5)</f>
        <v>21.741071428571431</v>
      </c>
      <c r="C98" s="6"/>
      <c r="D98" s="109"/>
    </row>
    <row r="99" spans="1:4" x14ac:dyDescent="0.2">
      <c r="A99" s="34" t="s">
        <v>221</v>
      </c>
      <c r="B99" s="6">
        <f>ROUND(+B98*B97,2)</f>
        <v>152.19</v>
      </c>
      <c r="C99" s="6"/>
    </row>
    <row r="100" spans="1:4" x14ac:dyDescent="0.2">
      <c r="A100" s="34" t="s">
        <v>214</v>
      </c>
      <c r="B100" s="52"/>
      <c r="C100" s="18">
        <f>+'Vigilante 5x2 12h Arm'!$D$14</f>
        <v>0</v>
      </c>
    </row>
    <row r="101" spans="1:4" x14ac:dyDescent="0.2">
      <c r="A101" s="34" t="s">
        <v>31</v>
      </c>
      <c r="B101" s="52"/>
      <c r="C101" s="18">
        <f>+'Vigilante 5x2 12h Arm'!$D$15</f>
        <v>0</v>
      </c>
    </row>
    <row r="102" spans="1:4" x14ac:dyDescent="0.2">
      <c r="A102" s="34" t="s">
        <v>32</v>
      </c>
      <c r="B102" s="52"/>
      <c r="C102" s="18">
        <f>+'Vigilante 5x2 12h Arm'!$D$16</f>
        <v>0</v>
      </c>
    </row>
    <row r="103" spans="1:4" x14ac:dyDescent="0.2">
      <c r="A103" s="104" t="s">
        <v>193</v>
      </c>
      <c r="B103" s="52"/>
      <c r="C103" s="105">
        <f>SUM(C100:C102)</f>
        <v>0</v>
      </c>
      <c r="D103" s="88"/>
    </row>
    <row r="104" spans="1:4" x14ac:dyDescent="0.2">
      <c r="A104" s="6" t="s">
        <v>102</v>
      </c>
      <c r="B104" s="106">
        <f>+B3</f>
        <v>220</v>
      </c>
      <c r="C104" s="52"/>
    </row>
    <row r="105" spans="1:4" x14ac:dyDescent="0.2">
      <c r="A105" s="34" t="s">
        <v>215</v>
      </c>
      <c r="B105" s="17">
        <v>0.2</v>
      </c>
      <c r="C105" s="52"/>
    </row>
    <row r="106" spans="1:4" x14ac:dyDescent="0.2">
      <c r="A106" s="34" t="s">
        <v>216</v>
      </c>
      <c r="B106" s="52"/>
      <c r="C106" s="8">
        <f>ROUND((C103/B104)*B105,2)</f>
        <v>0</v>
      </c>
    </row>
    <row r="107" spans="1:4" x14ac:dyDescent="0.2">
      <c r="A107" s="34" t="s">
        <v>223</v>
      </c>
      <c r="B107" s="6">
        <v>60</v>
      </c>
      <c r="C107" s="52"/>
    </row>
    <row r="108" spans="1:4" x14ac:dyDescent="0.2">
      <c r="A108" s="34" t="s">
        <v>222</v>
      </c>
      <c r="B108" s="6">
        <v>52.5</v>
      </c>
      <c r="C108" s="52"/>
    </row>
    <row r="109" spans="1:4" x14ac:dyDescent="0.2">
      <c r="A109" s="34" t="s">
        <v>224</v>
      </c>
      <c r="B109" s="6">
        <f>+B107/B108</f>
        <v>1.1428571428571428</v>
      </c>
      <c r="C109" s="52"/>
    </row>
    <row r="110" spans="1:4" x14ac:dyDescent="0.2">
      <c r="A110" s="34" t="s">
        <v>225</v>
      </c>
      <c r="B110" s="6">
        <f>ROUND(+B109*B99,2)</f>
        <v>173.93</v>
      </c>
      <c r="C110" s="52"/>
    </row>
    <row r="111" spans="1:4" x14ac:dyDescent="0.2">
      <c r="A111" s="34" t="s">
        <v>226</v>
      </c>
      <c r="B111" s="6">
        <f>ROUND(B110-B99,2)</f>
        <v>21.74</v>
      </c>
      <c r="C111" s="53"/>
    </row>
    <row r="112" spans="1:4" x14ac:dyDescent="0.2">
      <c r="A112" s="494" t="s">
        <v>227</v>
      </c>
      <c r="B112" s="494"/>
      <c r="C112" s="71">
        <f>+B111*C106</f>
        <v>0</v>
      </c>
    </row>
    <row r="114" spans="1:3" x14ac:dyDescent="0.2">
      <c r="A114" s="459" t="s">
        <v>233</v>
      </c>
      <c r="B114" s="459"/>
      <c r="C114" s="459"/>
    </row>
    <row r="115" spans="1:3" x14ac:dyDescent="0.2">
      <c r="A115" s="6" t="s">
        <v>204</v>
      </c>
      <c r="B115" s="6">
        <f>+$B$4</f>
        <v>365.25</v>
      </c>
      <c r="C115" s="52"/>
    </row>
    <row r="116" spans="1:3" x14ac:dyDescent="0.2">
      <c r="A116" s="6" t="s">
        <v>206</v>
      </c>
      <c r="B116" s="34">
        <v>12</v>
      </c>
      <c r="C116" s="52"/>
    </row>
    <row r="117" spans="1:3" x14ac:dyDescent="0.2">
      <c r="A117" s="6" t="s">
        <v>213</v>
      </c>
      <c r="B117" s="17">
        <v>1</v>
      </c>
      <c r="C117" s="52"/>
    </row>
    <row r="118" spans="1:3" x14ac:dyDescent="0.2">
      <c r="A118" s="34" t="s">
        <v>234</v>
      </c>
      <c r="B118" s="180">
        <f>+B5</f>
        <v>21.741071428571431</v>
      </c>
      <c r="C118" s="52"/>
    </row>
    <row r="119" spans="1:3" x14ac:dyDescent="0.2">
      <c r="A119" s="205" t="s">
        <v>235</v>
      </c>
      <c r="B119" s="206"/>
      <c r="C119" s="52"/>
    </row>
    <row r="120" spans="1:3" x14ac:dyDescent="0.2">
      <c r="A120" s="6" t="s">
        <v>236</v>
      </c>
      <c r="B120" s="17">
        <v>0.06</v>
      </c>
      <c r="C120" s="52"/>
    </row>
    <row r="121" spans="1:3" x14ac:dyDescent="0.2">
      <c r="A121" s="504" t="s">
        <v>237</v>
      </c>
      <c r="B121" s="505"/>
      <c r="C121" s="45">
        <f>ROUND((B118*(B119*2)-($B$6*B120)),2)</f>
        <v>0</v>
      </c>
    </row>
    <row r="123" spans="1:3" x14ac:dyDescent="0.2">
      <c r="A123" s="459" t="s">
        <v>238</v>
      </c>
      <c r="B123" s="459"/>
      <c r="C123" s="459"/>
    </row>
    <row r="124" spans="1:3" x14ac:dyDescent="0.2">
      <c r="A124" s="6" t="s">
        <v>204</v>
      </c>
      <c r="B124" s="6">
        <f>+$B$4</f>
        <v>365.25</v>
      </c>
      <c r="C124" s="52"/>
    </row>
    <row r="125" spans="1:3" x14ac:dyDescent="0.2">
      <c r="A125" s="6" t="s">
        <v>206</v>
      </c>
      <c r="B125" s="34">
        <v>12</v>
      </c>
      <c r="C125" s="52"/>
    </row>
    <row r="126" spans="1:3" x14ac:dyDescent="0.2">
      <c r="A126" s="6" t="s">
        <v>213</v>
      </c>
      <c r="B126" s="17">
        <v>1</v>
      </c>
      <c r="C126" s="52"/>
    </row>
    <row r="127" spans="1:3" x14ac:dyDescent="0.2">
      <c r="A127" s="34" t="s">
        <v>234</v>
      </c>
      <c r="B127" s="180">
        <f>+B5</f>
        <v>21.741071428571431</v>
      </c>
      <c r="C127" s="52"/>
    </row>
    <row r="128" spans="1:3" x14ac:dyDescent="0.2">
      <c r="A128" s="205" t="s">
        <v>239</v>
      </c>
      <c r="B128" s="206"/>
      <c r="C128" s="52"/>
    </row>
    <row r="129" spans="1:3" x14ac:dyDescent="0.2">
      <c r="A129" s="6" t="s">
        <v>367</v>
      </c>
      <c r="B129" s="17">
        <v>0.2</v>
      </c>
      <c r="C129" s="52"/>
    </row>
    <row r="130" spans="1:3" x14ac:dyDescent="0.2">
      <c r="A130" s="504" t="s">
        <v>239</v>
      </c>
      <c r="B130" s="505"/>
      <c r="C130" s="45">
        <f>ROUND((B127*(B128)-((B127*B128)*B129)),2)</f>
        <v>0</v>
      </c>
    </row>
    <row r="132" spans="1:3" x14ac:dyDescent="0.2">
      <c r="A132" s="459" t="s">
        <v>240</v>
      </c>
      <c r="B132" s="459"/>
      <c r="C132" s="459"/>
    </row>
    <row r="133" spans="1:3" x14ac:dyDescent="0.2">
      <c r="A133" s="6" t="s">
        <v>242</v>
      </c>
      <c r="B133" s="18">
        <f>+B7</f>
        <v>0</v>
      </c>
      <c r="C133" s="52"/>
    </row>
    <row r="134" spans="1:3" x14ac:dyDescent="0.2">
      <c r="A134" s="6" t="s">
        <v>243</v>
      </c>
      <c r="B134" s="6">
        <v>12</v>
      </c>
      <c r="C134" s="52"/>
    </row>
    <row r="135" spans="1:3" x14ac:dyDescent="0.2">
      <c r="A135" s="116" t="s">
        <v>244</v>
      </c>
      <c r="B135" s="114"/>
      <c r="C135" s="52"/>
    </row>
    <row r="136" spans="1:3" x14ac:dyDescent="0.2">
      <c r="A136" s="494" t="s">
        <v>245</v>
      </c>
      <c r="B136" s="494"/>
      <c r="C136" s="45">
        <f>ROUND(+(B133/B134)*B135,2)</f>
        <v>0</v>
      </c>
    </row>
    <row r="138" spans="1:3" x14ac:dyDescent="0.2">
      <c r="A138" s="507" t="s">
        <v>246</v>
      </c>
      <c r="B138" s="508"/>
      <c r="C138" s="509"/>
    </row>
    <row r="139" spans="1:3" s="60" customFormat="1" x14ac:dyDescent="0.2">
      <c r="A139" s="117" t="s">
        <v>251</v>
      </c>
      <c r="B139" s="114">
        <f>+B135</f>
        <v>0</v>
      </c>
      <c r="C139" s="52"/>
    </row>
    <row r="140" spans="1:3" x14ac:dyDescent="0.2">
      <c r="A140" s="6" t="s">
        <v>247</v>
      </c>
      <c r="B140" s="18">
        <f>+'Vigilante 5x2 12h Arm'!$D$26</f>
        <v>0</v>
      </c>
      <c r="C140" s="52"/>
    </row>
    <row r="141" spans="1:3" x14ac:dyDescent="0.2">
      <c r="A141" s="6" t="s">
        <v>46</v>
      </c>
      <c r="B141" s="18">
        <f>+'Vigilante 5x2 12h Arm'!$D$32</f>
        <v>0</v>
      </c>
      <c r="C141" s="52"/>
    </row>
    <row r="142" spans="1:3" x14ac:dyDescent="0.2">
      <c r="A142" s="111" t="s">
        <v>45</v>
      </c>
      <c r="B142" s="18">
        <f>+'Vigilante 5x2 12h Arm'!$D$34</f>
        <v>0</v>
      </c>
      <c r="C142" s="52"/>
    </row>
    <row r="143" spans="1:3" x14ac:dyDescent="0.2">
      <c r="A143" s="111" t="s">
        <v>44</v>
      </c>
      <c r="B143" s="18">
        <f>+'Vigilante 5x2 12h Arm'!$D$35</f>
        <v>0</v>
      </c>
      <c r="C143" s="52"/>
    </row>
    <row r="144" spans="1:3" x14ac:dyDescent="0.2">
      <c r="A144" s="104" t="s">
        <v>248</v>
      </c>
      <c r="B144" s="105">
        <f>SUM(B140:B143)</f>
        <v>0</v>
      </c>
      <c r="C144" s="52"/>
    </row>
    <row r="145" spans="1:3" x14ac:dyDescent="0.2">
      <c r="A145" s="25" t="s">
        <v>249</v>
      </c>
      <c r="B145" s="17">
        <v>0.4</v>
      </c>
      <c r="C145" s="52"/>
    </row>
    <row r="146" spans="1:3" x14ac:dyDescent="0.2">
      <c r="A146" s="25" t="s">
        <v>250</v>
      </c>
      <c r="B146" s="17">
        <f>+'Vigilante 5x2 12h Arm'!$C$47</f>
        <v>0.08</v>
      </c>
      <c r="C146" s="52"/>
    </row>
    <row r="147" spans="1:3" x14ac:dyDescent="0.2">
      <c r="A147" s="510" t="s">
        <v>252</v>
      </c>
      <c r="B147" s="510"/>
      <c r="C147" s="73">
        <f>ROUND(+B144*B145*B146*B139,2)</f>
        <v>0</v>
      </c>
    </row>
    <row r="148" spans="1:3" x14ac:dyDescent="0.2">
      <c r="A148" s="25" t="s">
        <v>253</v>
      </c>
      <c r="B148" s="17">
        <v>0.1</v>
      </c>
      <c r="C148" s="52"/>
    </row>
    <row r="149" spans="1:3" x14ac:dyDescent="0.2">
      <c r="A149" s="510" t="s">
        <v>254</v>
      </c>
      <c r="B149" s="510"/>
      <c r="C149" s="112">
        <f>ROUND(B148*B146*B144*B139,2)</f>
        <v>0</v>
      </c>
    </row>
    <row r="150" spans="1:3" x14ac:dyDescent="0.2">
      <c r="A150" s="504" t="s">
        <v>255</v>
      </c>
      <c r="B150" s="505"/>
      <c r="C150" s="71">
        <f>+C149+C147</f>
        <v>0</v>
      </c>
    </row>
    <row r="152" spans="1:3" x14ac:dyDescent="0.2">
      <c r="A152" s="459" t="s">
        <v>256</v>
      </c>
      <c r="B152" s="459"/>
      <c r="C152" s="459"/>
    </row>
    <row r="153" spans="1:3" x14ac:dyDescent="0.2">
      <c r="A153" s="6" t="s">
        <v>242</v>
      </c>
      <c r="B153" s="18">
        <f>+B7</f>
        <v>0</v>
      </c>
      <c r="C153" s="52"/>
    </row>
    <row r="154" spans="1:3" x14ac:dyDescent="0.2">
      <c r="A154" s="6" t="s">
        <v>257</v>
      </c>
      <c r="B154" s="113">
        <v>30</v>
      </c>
      <c r="C154" s="52"/>
    </row>
    <row r="155" spans="1:3" x14ac:dyDescent="0.2">
      <c r="A155" s="6" t="s">
        <v>243</v>
      </c>
      <c r="B155" s="6">
        <v>12</v>
      </c>
      <c r="C155" s="52"/>
    </row>
    <row r="156" spans="1:3" x14ac:dyDescent="0.2">
      <c r="A156" s="6" t="s">
        <v>258</v>
      </c>
      <c r="B156" s="6">
        <v>5</v>
      </c>
      <c r="C156" s="52"/>
    </row>
    <row r="157" spans="1:3" x14ac:dyDescent="0.2">
      <c r="A157" s="116" t="s">
        <v>294</v>
      </c>
      <c r="B157" s="114"/>
      <c r="C157" s="52"/>
    </row>
    <row r="158" spans="1:3" x14ac:dyDescent="0.2">
      <c r="A158" s="494" t="s">
        <v>369</v>
      </c>
      <c r="B158" s="494"/>
      <c r="C158" s="45">
        <f>+ROUND(((B153/B154/B155)*B156)*B157,2)</f>
        <v>0</v>
      </c>
    </row>
    <row r="160" spans="1:3" x14ac:dyDescent="0.2">
      <c r="A160" s="507" t="s">
        <v>259</v>
      </c>
      <c r="B160" s="508"/>
      <c r="C160" s="509"/>
    </row>
    <row r="161" spans="1:3" x14ac:dyDescent="0.2">
      <c r="A161" s="115" t="s">
        <v>260</v>
      </c>
      <c r="B161" s="114">
        <f>+B157</f>
        <v>0</v>
      </c>
      <c r="C161" s="52"/>
    </row>
    <row r="162" spans="1:3" x14ac:dyDescent="0.2">
      <c r="A162" s="6" t="s">
        <v>247</v>
      </c>
      <c r="B162" s="18">
        <f>+'Vigilante 5x2 12h Arm'!$D$26</f>
        <v>0</v>
      </c>
      <c r="C162" s="52"/>
    </row>
    <row r="163" spans="1:3" x14ac:dyDescent="0.2">
      <c r="A163" s="6" t="s">
        <v>46</v>
      </c>
      <c r="B163" s="18">
        <f>+'Vigilante 5x2 12h Arm'!$D$32</f>
        <v>0</v>
      </c>
      <c r="C163" s="52"/>
    </row>
    <row r="164" spans="1:3" x14ac:dyDescent="0.2">
      <c r="A164" s="111" t="s">
        <v>45</v>
      </c>
      <c r="B164" s="18">
        <f>+'Vigilante 5x2 12h Arm'!$D$34</f>
        <v>0</v>
      </c>
      <c r="C164" s="52"/>
    </row>
    <row r="165" spans="1:3" x14ac:dyDescent="0.2">
      <c r="A165" s="111" t="s">
        <v>44</v>
      </c>
      <c r="B165" s="18">
        <f>+'Vigilante 5x2 12h Arm'!$D$35</f>
        <v>0</v>
      </c>
      <c r="C165" s="52"/>
    </row>
    <row r="166" spans="1:3" x14ac:dyDescent="0.2">
      <c r="A166" s="104" t="s">
        <v>248</v>
      </c>
      <c r="B166" s="105">
        <f>SUM(B162:B165)</f>
        <v>0</v>
      </c>
      <c r="C166" s="52"/>
    </row>
    <row r="167" spans="1:3" x14ac:dyDescent="0.2">
      <c r="A167" s="25" t="s">
        <v>249</v>
      </c>
      <c r="B167" s="17">
        <v>0.4</v>
      </c>
      <c r="C167" s="52"/>
    </row>
    <row r="168" spans="1:3" x14ac:dyDescent="0.2">
      <c r="A168" s="25" t="s">
        <v>250</v>
      </c>
      <c r="B168" s="17">
        <f>+'Vigilante 5x2 12h Arm'!$C$47</f>
        <v>0.08</v>
      </c>
      <c r="C168" s="52"/>
    </row>
    <row r="169" spans="1:3" x14ac:dyDescent="0.2">
      <c r="A169" s="510" t="s">
        <v>252</v>
      </c>
      <c r="B169" s="510"/>
      <c r="C169" s="73">
        <f>ROUND(+B166*B167*B168*B161,2)</f>
        <v>0</v>
      </c>
    </row>
    <row r="170" spans="1:3" x14ac:dyDescent="0.2">
      <c r="A170" s="25" t="s">
        <v>253</v>
      </c>
      <c r="B170" s="17">
        <v>0.1</v>
      </c>
      <c r="C170" s="52"/>
    </row>
    <row r="171" spans="1:3" x14ac:dyDescent="0.2">
      <c r="A171" s="510" t="s">
        <v>254</v>
      </c>
      <c r="B171" s="510"/>
      <c r="C171" s="112">
        <f>ROUND(B170*B168*B166*B161,2)</f>
        <v>0</v>
      </c>
    </row>
    <row r="172" spans="1:3" x14ac:dyDescent="0.2">
      <c r="A172" s="504" t="s">
        <v>385</v>
      </c>
      <c r="B172" s="505"/>
      <c r="C172" s="71">
        <f>+C171+C169</f>
        <v>0</v>
      </c>
    </row>
    <row r="174" spans="1:3" x14ac:dyDescent="0.2">
      <c r="A174" s="507" t="s">
        <v>262</v>
      </c>
      <c r="B174" s="508"/>
      <c r="C174" s="509"/>
    </row>
    <row r="175" spans="1:3" ht="14.25" customHeight="1" x14ac:dyDescent="0.2">
      <c r="A175" s="511" t="s">
        <v>358</v>
      </c>
      <c r="B175" s="511"/>
      <c r="C175" s="511"/>
    </row>
    <row r="176" spans="1:3" x14ac:dyDescent="0.2">
      <c r="A176" s="511"/>
      <c r="B176" s="511"/>
      <c r="C176" s="511"/>
    </row>
    <row r="177" spans="1:3" x14ac:dyDescent="0.2">
      <c r="A177" s="511"/>
      <c r="B177" s="511"/>
      <c r="C177" s="511"/>
    </row>
    <row r="178" spans="1:3" x14ac:dyDescent="0.2">
      <c r="A178" s="511"/>
      <c r="B178" s="511"/>
      <c r="C178" s="511"/>
    </row>
    <row r="179" spans="1:3" x14ac:dyDescent="0.2">
      <c r="A179" s="119"/>
      <c r="B179" s="119"/>
      <c r="C179" s="119"/>
    </row>
    <row r="180" spans="1:3" x14ac:dyDescent="0.2">
      <c r="A180" s="512" t="s">
        <v>261</v>
      </c>
      <c r="B180" s="512"/>
      <c r="C180" s="512"/>
    </row>
    <row r="181" spans="1:3" x14ac:dyDescent="0.2">
      <c r="A181" s="6" t="s">
        <v>263</v>
      </c>
      <c r="B181" s="18">
        <f>+$B$7</f>
        <v>0</v>
      </c>
      <c r="C181" s="52"/>
    </row>
    <row r="182" spans="1:3" x14ac:dyDescent="0.2">
      <c r="A182" s="6" t="s">
        <v>206</v>
      </c>
      <c r="B182" s="6">
        <v>30</v>
      </c>
      <c r="C182" s="52"/>
    </row>
    <row r="183" spans="1:3" x14ac:dyDescent="0.2">
      <c r="A183" s="6" t="s">
        <v>264</v>
      </c>
      <c r="B183" s="6">
        <v>12</v>
      </c>
      <c r="C183" s="52"/>
    </row>
    <row r="184" spans="1:3" x14ac:dyDescent="0.2">
      <c r="A184" s="116" t="s">
        <v>265</v>
      </c>
      <c r="B184" s="116"/>
      <c r="C184" s="52"/>
    </row>
    <row r="185" spans="1:3" x14ac:dyDescent="0.2">
      <c r="A185" s="494" t="s">
        <v>266</v>
      </c>
      <c r="B185" s="494"/>
      <c r="C185" s="24">
        <f>+ROUND((B181/B182/B183)*B184,2)</f>
        <v>0</v>
      </c>
    </row>
    <row r="187" spans="1:3" x14ac:dyDescent="0.2">
      <c r="A187" s="512" t="s">
        <v>269</v>
      </c>
      <c r="B187" s="512"/>
      <c r="C187" s="512"/>
    </row>
    <row r="188" spans="1:3" x14ac:dyDescent="0.2">
      <c r="A188" s="6" t="s">
        <v>263</v>
      </c>
      <c r="B188" s="18">
        <f>+$B$7</f>
        <v>0</v>
      </c>
      <c r="C188" s="52"/>
    </row>
    <row r="189" spans="1:3" x14ac:dyDescent="0.2">
      <c r="A189" s="6" t="s">
        <v>206</v>
      </c>
      <c r="B189" s="6">
        <v>30</v>
      </c>
      <c r="C189" s="52"/>
    </row>
    <row r="190" spans="1:3" x14ac:dyDescent="0.2">
      <c r="A190" s="6" t="s">
        <v>264</v>
      </c>
      <c r="B190" s="6">
        <v>12</v>
      </c>
      <c r="C190" s="52"/>
    </row>
    <row r="191" spans="1:3" x14ac:dyDescent="0.2">
      <c r="A191" s="34" t="s">
        <v>267</v>
      </c>
      <c r="B191" s="6">
        <v>5</v>
      </c>
      <c r="C191" s="52"/>
    </row>
    <row r="192" spans="1:3" x14ac:dyDescent="0.2">
      <c r="A192" s="116" t="s">
        <v>268</v>
      </c>
      <c r="B192" s="114"/>
      <c r="C192" s="52"/>
    </row>
    <row r="193" spans="1:3" x14ac:dyDescent="0.2">
      <c r="A193" s="116" t="s">
        <v>270</v>
      </c>
      <c r="B193" s="114"/>
      <c r="C193" s="52"/>
    </row>
    <row r="194" spans="1:3" x14ac:dyDescent="0.2">
      <c r="A194" s="494" t="s">
        <v>271</v>
      </c>
      <c r="B194" s="494"/>
      <c r="C194" s="45">
        <f>ROUND(+B188/B189/B190*B191*B192*B193,2)</f>
        <v>0</v>
      </c>
    </row>
    <row r="196" spans="1:3" x14ac:dyDescent="0.2">
      <c r="A196" s="512" t="s">
        <v>272</v>
      </c>
      <c r="B196" s="512"/>
      <c r="C196" s="512"/>
    </row>
    <row r="197" spans="1:3" x14ac:dyDescent="0.2">
      <c r="A197" s="6" t="s">
        <v>263</v>
      </c>
      <c r="B197" s="18">
        <f>+$B$7</f>
        <v>0</v>
      </c>
      <c r="C197" s="52"/>
    </row>
    <row r="198" spans="1:3" x14ac:dyDescent="0.2">
      <c r="A198" s="6" t="s">
        <v>206</v>
      </c>
      <c r="B198" s="6">
        <v>30</v>
      </c>
      <c r="C198" s="52"/>
    </row>
    <row r="199" spans="1:3" x14ac:dyDescent="0.2">
      <c r="A199" s="6" t="s">
        <v>264</v>
      </c>
      <c r="B199" s="6">
        <v>12</v>
      </c>
      <c r="C199" s="52"/>
    </row>
    <row r="200" spans="1:3" x14ac:dyDescent="0.2">
      <c r="A200" s="34" t="s">
        <v>273</v>
      </c>
      <c r="B200" s="6">
        <v>15</v>
      </c>
      <c r="C200" s="52"/>
    </row>
    <row r="201" spans="1:3" x14ac:dyDescent="0.2">
      <c r="A201" s="116" t="s">
        <v>274</v>
      </c>
      <c r="B201" s="114"/>
      <c r="C201" s="52"/>
    </row>
    <row r="202" spans="1:3" x14ac:dyDescent="0.2">
      <c r="A202" s="494" t="s">
        <v>370</v>
      </c>
      <c r="B202" s="494"/>
      <c r="C202" s="45">
        <f>ROUND(+B197/B198/B199*B200*B201,2)</f>
        <v>0</v>
      </c>
    </row>
    <row r="204" spans="1:3" x14ac:dyDescent="0.2">
      <c r="A204" s="512" t="s">
        <v>275</v>
      </c>
      <c r="B204" s="512"/>
      <c r="C204" s="512"/>
    </row>
    <row r="205" spans="1:3" x14ac:dyDescent="0.2">
      <c r="A205" s="6" t="s">
        <v>263</v>
      </c>
      <c r="B205" s="18">
        <f>+$B$7</f>
        <v>0</v>
      </c>
      <c r="C205" s="52"/>
    </row>
    <row r="206" spans="1:3" x14ac:dyDescent="0.2">
      <c r="A206" s="6" t="s">
        <v>206</v>
      </c>
      <c r="B206" s="6">
        <v>30</v>
      </c>
      <c r="C206" s="52"/>
    </row>
    <row r="207" spans="1:3" x14ac:dyDescent="0.2">
      <c r="A207" s="6" t="s">
        <v>264</v>
      </c>
      <c r="B207" s="6">
        <v>12</v>
      </c>
      <c r="C207" s="52"/>
    </row>
    <row r="208" spans="1:3" x14ac:dyDescent="0.2">
      <c r="A208" s="34" t="s">
        <v>273</v>
      </c>
      <c r="B208" s="6">
        <v>5</v>
      </c>
      <c r="C208" s="52"/>
    </row>
    <row r="209" spans="1:3" x14ac:dyDescent="0.2">
      <c r="A209" s="116" t="s">
        <v>276</v>
      </c>
      <c r="B209" s="114"/>
      <c r="C209" s="52"/>
    </row>
    <row r="210" spans="1:3" x14ac:dyDescent="0.2">
      <c r="A210" s="494" t="s">
        <v>371</v>
      </c>
      <c r="B210" s="494"/>
      <c r="C210" s="45">
        <f>ROUND(+B205/B206/B207*B208*B209,2)</f>
        <v>0</v>
      </c>
    </row>
    <row r="212" spans="1:3" x14ac:dyDescent="0.2">
      <c r="A212" s="459" t="s">
        <v>108</v>
      </c>
      <c r="B212" s="459"/>
      <c r="C212" s="459"/>
    </row>
    <row r="213" spans="1:3" x14ac:dyDescent="0.2">
      <c r="A213" s="83" t="s">
        <v>23</v>
      </c>
      <c r="B213" s="87"/>
      <c r="C213" s="18">
        <f>+'Vigilante 5x2 12h Arm'!D26-'Vigilante 5x2 12h Arm'!D23</f>
        <v>0</v>
      </c>
    </row>
    <row r="214" spans="1:3" x14ac:dyDescent="0.2">
      <c r="A214" s="83" t="s">
        <v>68</v>
      </c>
      <c r="B214" s="87"/>
      <c r="C214" s="18">
        <f>+'Vigilante 5x2 12h Arm'!D71</f>
        <v>0</v>
      </c>
    </row>
    <row r="215" spans="1:3" x14ac:dyDescent="0.2">
      <c r="A215" s="83" t="s">
        <v>153</v>
      </c>
      <c r="B215" s="87"/>
      <c r="C215" s="18">
        <f>+'Vigilante 5x2 12h Arm'!D119</f>
        <v>0</v>
      </c>
    </row>
    <row r="216" spans="1:3" x14ac:dyDescent="0.2">
      <c r="A216" s="83" t="s">
        <v>86</v>
      </c>
      <c r="B216" s="87"/>
      <c r="C216" s="18">
        <f>+'Vigilante 5x2 12h Arm'!D110</f>
        <v>0</v>
      </c>
    </row>
    <row r="217" spans="1:3" x14ac:dyDescent="0.2">
      <c r="A217" s="83" t="s">
        <v>92</v>
      </c>
      <c r="B217" s="87"/>
      <c r="C217" s="18">
        <f>+'Vigilante 5x2 12h Arm'!D111</f>
        <v>0</v>
      </c>
    </row>
    <row r="218" spans="1:3" x14ac:dyDescent="0.2">
      <c r="A218" s="83" t="s">
        <v>70</v>
      </c>
      <c r="B218" s="87"/>
      <c r="C218" s="18">
        <f>+'Vigilante 5x2 12h Arm'!D82</f>
        <v>0</v>
      </c>
    </row>
    <row r="219" spans="1:3" x14ac:dyDescent="0.2">
      <c r="A219" s="83" t="s">
        <v>193</v>
      </c>
      <c r="B219" s="87"/>
      <c r="C219" s="18">
        <f>SUM(C213:C218)</f>
        <v>0</v>
      </c>
    </row>
    <row r="220" spans="1:3" x14ac:dyDescent="0.2">
      <c r="A220" s="83" t="s">
        <v>102</v>
      </c>
      <c r="B220" s="84">
        <v>220</v>
      </c>
      <c r="C220" s="85"/>
    </row>
    <row r="221" spans="1:3" x14ac:dyDescent="0.2">
      <c r="A221" s="83" t="s">
        <v>103</v>
      </c>
      <c r="B221" s="87"/>
      <c r="C221" s="18">
        <f>ROUND(C219/B220,2)</f>
        <v>0</v>
      </c>
    </row>
    <row r="222" spans="1:3" x14ac:dyDescent="0.2">
      <c r="A222" s="6" t="s">
        <v>104</v>
      </c>
      <c r="B222" s="51">
        <f>+B5</f>
        <v>21.741071428571431</v>
      </c>
      <c r="C222" s="58"/>
    </row>
    <row r="223" spans="1:3" x14ac:dyDescent="0.2">
      <c r="A223" s="504" t="s">
        <v>106</v>
      </c>
      <c r="B223" s="505"/>
      <c r="C223" s="71">
        <f>ROUND(+B222*C221,2)</f>
        <v>0</v>
      </c>
    </row>
    <row r="225" spans="1:3" x14ac:dyDescent="0.2">
      <c r="A225" s="512" t="s">
        <v>277</v>
      </c>
      <c r="B225" s="512"/>
      <c r="C225" s="512"/>
    </row>
    <row r="226" spans="1:3" x14ac:dyDescent="0.2">
      <c r="A226" s="513" t="s">
        <v>282</v>
      </c>
      <c r="B226" s="514"/>
      <c r="C226" s="515"/>
    </row>
    <row r="227" spans="1:3" x14ac:dyDescent="0.2">
      <c r="A227" s="6" t="s">
        <v>263</v>
      </c>
      <c r="B227" s="18">
        <f>+$B$7</f>
        <v>0</v>
      </c>
      <c r="C227" s="52"/>
    </row>
    <row r="228" spans="1:3" x14ac:dyDescent="0.2">
      <c r="A228" s="6" t="s">
        <v>281</v>
      </c>
      <c r="B228" s="18">
        <f>+B227*(1/3)</f>
        <v>0</v>
      </c>
      <c r="C228" s="52"/>
    </row>
    <row r="229" spans="1:3" x14ac:dyDescent="0.2">
      <c r="A229" s="104" t="s">
        <v>248</v>
      </c>
      <c r="B229" s="105">
        <f>SUM(B227:B228)</f>
        <v>0</v>
      </c>
      <c r="C229" s="52"/>
    </row>
    <row r="230" spans="1:3" x14ac:dyDescent="0.2">
      <c r="A230" s="6" t="s">
        <v>278</v>
      </c>
      <c r="B230" s="6">
        <v>4</v>
      </c>
      <c r="C230" s="52"/>
    </row>
    <row r="231" spans="1:3" x14ac:dyDescent="0.2">
      <c r="A231" s="6" t="s">
        <v>264</v>
      </c>
      <c r="B231" s="6">
        <v>12</v>
      </c>
      <c r="C231" s="52"/>
    </row>
    <row r="232" spans="1:3" x14ac:dyDescent="0.2">
      <c r="A232" s="116" t="s">
        <v>279</v>
      </c>
      <c r="B232" s="114"/>
      <c r="C232" s="52"/>
    </row>
    <row r="233" spans="1:3" x14ac:dyDescent="0.2">
      <c r="A233" s="116" t="s">
        <v>280</v>
      </c>
      <c r="B233" s="114"/>
      <c r="C233" s="52"/>
    </row>
    <row r="234" spans="1:3" x14ac:dyDescent="0.2">
      <c r="A234" s="494" t="s">
        <v>283</v>
      </c>
      <c r="B234" s="494"/>
      <c r="C234" s="45">
        <f>ROUND((((+B229*(B230/B231)/B231)*B232)*B233),2)</f>
        <v>0</v>
      </c>
    </row>
    <row r="235" spans="1:3" x14ac:dyDescent="0.2">
      <c r="A235" s="494" t="s">
        <v>284</v>
      </c>
      <c r="B235" s="494"/>
      <c r="C235" s="494"/>
    </row>
    <row r="236" spans="1:3" x14ac:dyDescent="0.2">
      <c r="A236" s="6" t="s">
        <v>263</v>
      </c>
      <c r="B236" s="18">
        <f>+'Vigilante 5x2 12h Arm'!D26</f>
        <v>0</v>
      </c>
      <c r="C236" s="52"/>
    </row>
    <row r="237" spans="1:3" x14ac:dyDescent="0.2">
      <c r="A237" s="6" t="s">
        <v>46</v>
      </c>
      <c r="B237" s="18">
        <f>+'Vigilante 5x2 12h Arm'!D32</f>
        <v>0</v>
      </c>
      <c r="C237" s="52"/>
    </row>
    <row r="238" spans="1:3" x14ac:dyDescent="0.2">
      <c r="A238" s="104" t="s">
        <v>248</v>
      </c>
      <c r="B238" s="105">
        <f>SUM(B236:B237)</f>
        <v>0</v>
      </c>
      <c r="C238" s="52"/>
    </row>
    <row r="239" spans="1:3" x14ac:dyDescent="0.2">
      <c r="A239" s="6" t="s">
        <v>278</v>
      </c>
      <c r="B239" s="6">
        <v>4</v>
      </c>
      <c r="C239" s="52"/>
    </row>
    <row r="240" spans="1:3" x14ac:dyDescent="0.2">
      <c r="A240" s="6" t="s">
        <v>264</v>
      </c>
      <c r="B240" s="6">
        <v>12</v>
      </c>
      <c r="C240" s="52"/>
    </row>
    <row r="241" spans="1:3" x14ac:dyDescent="0.2">
      <c r="A241" s="116" t="s">
        <v>279</v>
      </c>
      <c r="B241" s="114"/>
      <c r="C241" s="52"/>
    </row>
    <row r="242" spans="1:3" x14ac:dyDescent="0.2">
      <c r="A242" s="116" t="s">
        <v>280</v>
      </c>
      <c r="B242" s="114"/>
      <c r="C242" s="52"/>
    </row>
    <row r="243" spans="1:3" x14ac:dyDescent="0.2">
      <c r="A243" s="34" t="s">
        <v>285</v>
      </c>
      <c r="B243" s="17">
        <f>+'Vigilante 5x2 12h Arm'!C48</f>
        <v>0.36800000000000005</v>
      </c>
      <c r="C243" s="52"/>
    </row>
    <row r="244" spans="1:3" x14ac:dyDescent="0.2">
      <c r="A244" s="494" t="s">
        <v>286</v>
      </c>
      <c r="B244" s="494"/>
      <c r="C244" s="71">
        <f>ROUND((((B238*(B239/B240)*B241)*B242)*B243),2)</f>
        <v>0</v>
      </c>
    </row>
  </sheetData>
  <mergeCells count="45">
    <mergeCell ref="A235:C235"/>
    <mergeCell ref="A244:B244"/>
    <mergeCell ref="A39:C39"/>
    <mergeCell ref="A210:B210"/>
    <mergeCell ref="A212:C212"/>
    <mergeCell ref="A223:B223"/>
    <mergeCell ref="A225:C225"/>
    <mergeCell ref="A226:C226"/>
    <mergeCell ref="A234:B234"/>
    <mergeCell ref="A185:B185"/>
    <mergeCell ref="A187:C187"/>
    <mergeCell ref="A194:B194"/>
    <mergeCell ref="A196:C196"/>
    <mergeCell ref="A202:B202"/>
    <mergeCell ref="A204:C204"/>
    <mergeCell ref="A169:B169"/>
    <mergeCell ref="A171:B171"/>
    <mergeCell ref="A172:B172"/>
    <mergeCell ref="A174:C174"/>
    <mergeCell ref="A175:C178"/>
    <mergeCell ref="A180:C180"/>
    <mergeCell ref="A160:C160"/>
    <mergeCell ref="A121:B121"/>
    <mergeCell ref="A123:C123"/>
    <mergeCell ref="A130:B130"/>
    <mergeCell ref="A132:C132"/>
    <mergeCell ref="A136:B136"/>
    <mergeCell ref="A138:C138"/>
    <mergeCell ref="A147:B147"/>
    <mergeCell ref="A149:B149"/>
    <mergeCell ref="A150:B150"/>
    <mergeCell ref="A152:C152"/>
    <mergeCell ref="A158:B158"/>
    <mergeCell ref="A114:C114"/>
    <mergeCell ref="A1:C1"/>
    <mergeCell ref="A9:C9"/>
    <mergeCell ref="A26:B26"/>
    <mergeCell ref="A28:C28"/>
    <mergeCell ref="A52:C52"/>
    <mergeCell ref="A65:B65"/>
    <mergeCell ref="A67:C67"/>
    <mergeCell ref="A80:B80"/>
    <mergeCell ref="A82:C82"/>
    <mergeCell ref="A93:C93"/>
    <mergeCell ref="A112:B112"/>
  </mergeCells>
  <pageMargins left="0.84" right="0.1" top="0.78740157480314965" bottom="0.78740157480314965" header="0.31496062992125984" footer="0.31496062992125984"/>
  <pageSetup paperSize="9" scale="90" orientation="portrait" r:id="rId1"/>
  <headerFooter>
    <oddFooter>&amp;A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tabColor theme="6" tint="-0.249977111117893"/>
  </sheetPr>
  <dimension ref="A1:F184"/>
  <sheetViews>
    <sheetView topLeftCell="A58" workbookViewId="0">
      <selection activeCell="F82" sqref="F82"/>
    </sheetView>
  </sheetViews>
  <sheetFormatPr defaultRowHeight="12.75" x14ac:dyDescent="0.2"/>
  <cols>
    <col min="1" max="1" width="5.625" customWidth="1"/>
    <col min="2" max="2" width="50.5" customWidth="1"/>
    <col min="3" max="3" width="9.375" bestFit="1" customWidth="1"/>
    <col min="4" max="4" width="15.625" customWidth="1"/>
    <col min="5" max="5" width="11.75" bestFit="1" customWidth="1"/>
  </cols>
  <sheetData>
    <row r="1" spans="1:6" x14ac:dyDescent="0.2">
      <c r="A1" s="477" t="s">
        <v>211</v>
      </c>
      <c r="B1" s="478"/>
      <c r="C1" s="478"/>
      <c r="D1" s="479"/>
      <c r="E1" s="3"/>
      <c r="F1" s="3"/>
    </row>
    <row r="3" spans="1:6" x14ac:dyDescent="0.2">
      <c r="A3" s="463" t="s">
        <v>16</v>
      </c>
      <c r="B3" s="464"/>
      <c r="C3" s="464"/>
      <c r="D3" s="465"/>
    </row>
    <row r="4" spans="1:6" s="1" customFormat="1" ht="40.5" customHeight="1" x14ac:dyDescent="0.2">
      <c r="A4" s="379">
        <v>1</v>
      </c>
      <c r="B4" s="380" t="s">
        <v>17</v>
      </c>
      <c r="C4" s="552" t="s">
        <v>360</v>
      </c>
      <c r="D4" s="553"/>
    </row>
    <row r="5" spans="1:6" s="1" customFormat="1" x14ac:dyDescent="0.2">
      <c r="A5" s="379">
        <v>2</v>
      </c>
      <c r="B5" s="380" t="s">
        <v>18</v>
      </c>
      <c r="C5" s="554" t="s">
        <v>295</v>
      </c>
      <c r="D5" s="555"/>
    </row>
    <row r="6" spans="1:6" s="1" customFormat="1" x14ac:dyDescent="0.2">
      <c r="A6" s="379">
        <v>3</v>
      </c>
      <c r="B6" s="380" t="s">
        <v>19</v>
      </c>
      <c r="C6" s="484"/>
      <c r="D6" s="484"/>
    </row>
    <row r="7" spans="1:6" s="1" customFormat="1" ht="43.5" customHeight="1" x14ac:dyDescent="0.2">
      <c r="A7" s="379">
        <v>4</v>
      </c>
      <c r="B7" s="380" t="s">
        <v>21</v>
      </c>
      <c r="C7" s="550" t="s">
        <v>296</v>
      </c>
      <c r="D7" s="551"/>
    </row>
    <row r="8" spans="1:6" s="1" customFormat="1" x14ac:dyDescent="0.2">
      <c r="A8" s="379">
        <v>5</v>
      </c>
      <c r="B8" s="380" t="s">
        <v>20</v>
      </c>
      <c r="C8" s="556">
        <v>43160</v>
      </c>
      <c r="D8" s="555"/>
    </row>
    <row r="9" spans="1:6" x14ac:dyDescent="0.2">
      <c r="D9" s="201"/>
    </row>
    <row r="10" spans="1:6" x14ac:dyDescent="0.2">
      <c r="A10" s="455" t="s">
        <v>22</v>
      </c>
      <c r="B10" s="455"/>
      <c r="C10" s="455"/>
      <c r="D10" s="455"/>
    </row>
    <row r="11" spans="1:6" x14ac:dyDescent="0.2">
      <c r="A11" s="4">
        <v>1</v>
      </c>
      <c r="B11" s="94" t="s">
        <v>23</v>
      </c>
      <c r="C11" s="183" t="s">
        <v>50</v>
      </c>
      <c r="D11" s="5" t="s">
        <v>24</v>
      </c>
    </row>
    <row r="12" spans="1:6" x14ac:dyDescent="0.2">
      <c r="A12" s="182" t="s">
        <v>3</v>
      </c>
      <c r="B12" s="388" t="s">
        <v>30</v>
      </c>
      <c r="C12" s="388"/>
      <c r="D12" s="7">
        <f>+C6</f>
        <v>0</v>
      </c>
    </row>
    <row r="13" spans="1:6" x14ac:dyDescent="0.2">
      <c r="A13" s="182" t="s">
        <v>4</v>
      </c>
      <c r="B13" s="89" t="s">
        <v>31</v>
      </c>
      <c r="C13" s="95">
        <v>0.3</v>
      </c>
      <c r="D13" s="7">
        <f>+(D12+D22)*C13</f>
        <v>0</v>
      </c>
      <c r="E13" s="88"/>
    </row>
    <row r="14" spans="1:6" x14ac:dyDescent="0.2">
      <c r="A14" s="182" t="s">
        <v>5</v>
      </c>
      <c r="B14" s="89" t="s">
        <v>32</v>
      </c>
      <c r="C14" s="95"/>
      <c r="D14" s="7"/>
    </row>
    <row r="15" spans="1:6" x14ac:dyDescent="0.2">
      <c r="A15" s="182" t="s">
        <v>6</v>
      </c>
      <c r="B15" s="388" t="s">
        <v>33</v>
      </c>
      <c r="C15" s="388"/>
      <c r="D15" s="7"/>
    </row>
    <row r="16" spans="1:6" x14ac:dyDescent="0.2">
      <c r="A16" s="182" t="s">
        <v>25</v>
      </c>
      <c r="B16" s="388" t="s">
        <v>34</v>
      </c>
      <c r="C16" s="388"/>
      <c r="D16" s="7"/>
    </row>
    <row r="17" spans="1:6" x14ac:dyDescent="0.2">
      <c r="A17" s="182" t="s">
        <v>26</v>
      </c>
      <c r="B17" s="468" t="s">
        <v>231</v>
      </c>
      <c r="C17" s="469"/>
      <c r="D17" s="7"/>
    </row>
    <row r="18" spans="1:6" x14ac:dyDescent="0.2">
      <c r="A18" s="182" t="s">
        <v>27</v>
      </c>
      <c r="B18" s="388" t="s">
        <v>35</v>
      </c>
      <c r="C18" s="388"/>
      <c r="D18" s="7"/>
    </row>
    <row r="19" spans="1:6" x14ac:dyDescent="0.2">
      <c r="A19" s="182" t="s">
        <v>28</v>
      </c>
      <c r="B19" s="468" t="s">
        <v>195</v>
      </c>
      <c r="C19" s="469"/>
      <c r="D19" s="93"/>
    </row>
    <row r="20" spans="1:6" x14ac:dyDescent="0.2">
      <c r="A20" s="182" t="s">
        <v>64</v>
      </c>
      <c r="B20" s="89" t="s">
        <v>65</v>
      </c>
      <c r="C20" s="95"/>
      <c r="D20" s="7"/>
    </row>
    <row r="21" spans="1:6" x14ac:dyDescent="0.2">
      <c r="A21" s="182" t="s">
        <v>194</v>
      </c>
      <c r="B21" s="388" t="s">
        <v>95</v>
      </c>
      <c r="C21" s="388"/>
      <c r="D21" s="8"/>
      <c r="F21" s="98"/>
    </row>
    <row r="22" spans="1:6" x14ac:dyDescent="0.2">
      <c r="A22" s="182" t="s">
        <v>196</v>
      </c>
      <c r="B22" s="468" t="s">
        <v>344</v>
      </c>
      <c r="C22" s="469"/>
      <c r="D22" s="8">
        <f>+'Calculo 5x2 12h Desar'!C50</f>
        <v>0</v>
      </c>
      <c r="F22" s="98"/>
    </row>
    <row r="23" spans="1:6" x14ac:dyDescent="0.2">
      <c r="A23" s="182" t="s">
        <v>342</v>
      </c>
      <c r="B23" s="388" t="s">
        <v>36</v>
      </c>
      <c r="C23" s="388"/>
      <c r="D23" s="8"/>
    </row>
    <row r="24" spans="1:6" x14ac:dyDescent="0.2">
      <c r="A24" s="474" t="s">
        <v>29</v>
      </c>
      <c r="B24" s="474"/>
      <c r="C24" s="474"/>
      <c r="D24" s="9">
        <f>SUM(D12:D23)</f>
        <v>0</v>
      </c>
    </row>
    <row r="26" spans="1:6" x14ac:dyDescent="0.2">
      <c r="A26" s="455" t="s">
        <v>37</v>
      </c>
      <c r="B26" s="455"/>
      <c r="C26" s="455"/>
      <c r="D26" s="455"/>
    </row>
    <row r="28" spans="1:6" x14ac:dyDescent="0.2">
      <c r="A28" s="455" t="s">
        <v>38</v>
      </c>
      <c r="B28" s="455"/>
      <c r="C28" s="455"/>
      <c r="D28" s="455"/>
    </row>
    <row r="29" spans="1:6" x14ac:dyDescent="0.2">
      <c r="A29" s="19" t="s">
        <v>39</v>
      </c>
      <c r="B29" s="14" t="s">
        <v>40</v>
      </c>
      <c r="C29" s="22" t="s">
        <v>50</v>
      </c>
      <c r="D29" s="20" t="s">
        <v>24</v>
      </c>
    </row>
    <row r="30" spans="1:6" x14ac:dyDescent="0.2">
      <c r="A30" s="182" t="s">
        <v>3</v>
      </c>
      <c r="B30" s="6" t="s">
        <v>46</v>
      </c>
      <c r="C30" s="29" t="e">
        <f>ROUND(+D30/$D$24,4)</f>
        <v>#DIV/0!</v>
      </c>
      <c r="D30" s="8">
        <f>ROUND(+D24/12,2)</f>
        <v>0</v>
      </c>
    </row>
    <row r="31" spans="1:6" x14ac:dyDescent="0.2">
      <c r="A31" s="28" t="s">
        <v>4</v>
      </c>
      <c r="B31" s="37" t="s">
        <v>43</v>
      </c>
      <c r="C31" s="38" t="e">
        <f>ROUND(+D31/$D$24,4)</f>
        <v>#DIV/0!</v>
      </c>
      <c r="D31" s="39">
        <f>+D32+D33</f>
        <v>0</v>
      </c>
    </row>
    <row r="32" spans="1:6" x14ac:dyDescent="0.2">
      <c r="A32" s="182" t="s">
        <v>41</v>
      </c>
      <c r="B32" s="35" t="s">
        <v>45</v>
      </c>
      <c r="C32" s="40" t="e">
        <f>ROUND(+D32/$D$24,4)</f>
        <v>#DIV/0!</v>
      </c>
      <c r="D32" s="36">
        <f>ROUND(+D24/12,2)</f>
        <v>0</v>
      </c>
    </row>
    <row r="33" spans="1:4" x14ac:dyDescent="0.2">
      <c r="A33" s="182" t="s">
        <v>42</v>
      </c>
      <c r="B33" s="35" t="s">
        <v>44</v>
      </c>
      <c r="C33" s="40" t="e">
        <f>ROUND(+D33/$D$24,4)</f>
        <v>#DIV/0!</v>
      </c>
      <c r="D33" s="36">
        <f>ROUND(+(D24*1/3)/12,2)</f>
        <v>0</v>
      </c>
    </row>
    <row r="34" spans="1:4" x14ac:dyDescent="0.2">
      <c r="A34" s="474" t="s">
        <v>29</v>
      </c>
      <c r="B34" s="474"/>
      <c r="C34" s="474"/>
      <c r="D34" s="9">
        <f>+D31+D30</f>
        <v>0</v>
      </c>
    </row>
    <row r="36" spans="1:4" x14ac:dyDescent="0.2">
      <c r="A36" s="467" t="s">
        <v>47</v>
      </c>
      <c r="B36" s="467"/>
      <c r="C36" s="467"/>
      <c r="D36" s="467"/>
    </row>
    <row r="37" spans="1:4" x14ac:dyDescent="0.2">
      <c r="A37" s="19" t="s">
        <v>48</v>
      </c>
      <c r="B37" s="21" t="s">
        <v>49</v>
      </c>
      <c r="C37" s="22" t="s">
        <v>50</v>
      </c>
      <c r="D37" s="20" t="s">
        <v>24</v>
      </c>
    </row>
    <row r="38" spans="1:4" x14ac:dyDescent="0.2">
      <c r="A38" s="182" t="s">
        <v>3</v>
      </c>
      <c r="B38" s="6" t="s">
        <v>51</v>
      </c>
      <c r="C38" s="17">
        <v>0.2</v>
      </c>
      <c r="D38" s="18">
        <f>ROUND(C38*($D$24+$D$34),2)</f>
        <v>0</v>
      </c>
    </row>
    <row r="39" spans="1:4" x14ac:dyDescent="0.2">
      <c r="A39" s="182" t="s">
        <v>4</v>
      </c>
      <c r="B39" s="6" t="s">
        <v>52</v>
      </c>
      <c r="C39" s="17">
        <v>2.5000000000000001E-2</v>
      </c>
      <c r="D39" s="18">
        <f t="shared" ref="D39:D44" si="0">ROUND(C39*($D$24+$D$34),2)</f>
        <v>0</v>
      </c>
    </row>
    <row r="40" spans="1:4" x14ac:dyDescent="0.2">
      <c r="A40" s="182" t="s">
        <v>5</v>
      </c>
      <c r="B40" s="6" t="s">
        <v>58</v>
      </c>
      <c r="C40" s="17">
        <f>3%</f>
        <v>0.03</v>
      </c>
      <c r="D40" s="18">
        <f t="shared" si="0"/>
        <v>0</v>
      </c>
    </row>
    <row r="41" spans="1:4" x14ac:dyDescent="0.2">
      <c r="A41" s="182" t="s">
        <v>6</v>
      </c>
      <c r="B41" s="6" t="s">
        <v>53</v>
      </c>
      <c r="C41" s="17">
        <v>1.4999999999999999E-2</v>
      </c>
      <c r="D41" s="18">
        <f t="shared" si="0"/>
        <v>0</v>
      </c>
    </row>
    <row r="42" spans="1:4" x14ac:dyDescent="0.2">
      <c r="A42" s="182" t="s">
        <v>25</v>
      </c>
      <c r="B42" s="6" t="s">
        <v>54</v>
      </c>
      <c r="C42" s="17">
        <v>0.01</v>
      </c>
      <c r="D42" s="18">
        <f t="shared" si="0"/>
        <v>0</v>
      </c>
    </row>
    <row r="43" spans="1:4" x14ac:dyDescent="0.2">
      <c r="A43" s="182" t="s">
        <v>26</v>
      </c>
      <c r="B43" s="6" t="s">
        <v>55</v>
      </c>
      <c r="C43" s="17">
        <v>6.0000000000000001E-3</v>
      </c>
      <c r="D43" s="18">
        <f t="shared" si="0"/>
        <v>0</v>
      </c>
    </row>
    <row r="44" spans="1:4" x14ac:dyDescent="0.2">
      <c r="A44" s="182" t="s">
        <v>27</v>
      </c>
      <c r="B44" s="6" t="s">
        <v>56</v>
      </c>
      <c r="C44" s="17">
        <v>2E-3</v>
      </c>
      <c r="D44" s="18">
        <f t="shared" si="0"/>
        <v>0</v>
      </c>
    </row>
    <row r="45" spans="1:4" x14ac:dyDescent="0.2">
      <c r="A45" s="182" t="s">
        <v>28</v>
      </c>
      <c r="B45" s="6" t="s">
        <v>57</v>
      </c>
      <c r="C45" s="17">
        <v>0.08</v>
      </c>
      <c r="D45" s="18">
        <f>ROUND(C45*($D$24+$D$34),2)</f>
        <v>0</v>
      </c>
    </row>
    <row r="46" spans="1:4" x14ac:dyDescent="0.2">
      <c r="A46" s="184" t="s">
        <v>29</v>
      </c>
      <c r="B46" s="186"/>
      <c r="C46" s="41">
        <f>SUM(C38:C45)</f>
        <v>0.36800000000000005</v>
      </c>
      <c r="D46" s="42">
        <f>SUM(D38:D45)</f>
        <v>0</v>
      </c>
    </row>
    <row r="47" spans="1:4" x14ac:dyDescent="0.2">
      <c r="A47" s="43"/>
      <c r="B47" s="43"/>
      <c r="C47" s="43"/>
      <c r="D47" s="43"/>
    </row>
    <row r="48" spans="1:4" ht="12.75" customHeight="1" x14ac:dyDescent="0.2">
      <c r="A48" s="467" t="s">
        <v>59</v>
      </c>
      <c r="B48" s="467"/>
      <c r="C48" s="467"/>
      <c r="D48" s="467"/>
    </row>
    <row r="49" spans="1:6" x14ac:dyDescent="0.2">
      <c r="A49" s="19" t="s">
        <v>60</v>
      </c>
      <c r="B49" s="21" t="s">
        <v>61</v>
      </c>
      <c r="C49" s="22"/>
      <c r="D49" s="20" t="s">
        <v>24</v>
      </c>
    </row>
    <row r="50" spans="1:6" x14ac:dyDescent="0.2">
      <c r="A50" s="107" t="s">
        <v>3</v>
      </c>
      <c r="B50" s="6" t="s">
        <v>62</v>
      </c>
      <c r="C50" s="54"/>
      <c r="D50" s="18">
        <f>+'Calculo 5x2 12h Desar'!C121</f>
        <v>0</v>
      </c>
    </row>
    <row r="51" spans="1:6" s="60" customFormat="1" x14ac:dyDescent="0.2">
      <c r="A51" s="75" t="s">
        <v>177</v>
      </c>
      <c r="B51" s="34" t="s">
        <v>178</v>
      </c>
      <c r="C51" s="29">
        <f>+$C$136+$C$137</f>
        <v>3.6499999999999998E-2</v>
      </c>
      <c r="D51" s="77">
        <f>+(C51*D50)*-1</f>
        <v>0</v>
      </c>
      <c r="F51" s="76"/>
    </row>
    <row r="52" spans="1:6" x14ac:dyDescent="0.2">
      <c r="A52" s="107" t="s">
        <v>4</v>
      </c>
      <c r="B52" s="6" t="s">
        <v>63</v>
      </c>
      <c r="C52" s="54"/>
      <c r="D52" s="18">
        <f>+'Calculo 5x2 12h Desar'!C130</f>
        <v>0</v>
      </c>
      <c r="F52" s="61"/>
    </row>
    <row r="53" spans="1:6" s="60" customFormat="1" x14ac:dyDescent="0.2">
      <c r="A53" s="75" t="s">
        <v>41</v>
      </c>
      <c r="B53" s="34" t="s">
        <v>178</v>
      </c>
      <c r="C53" s="29">
        <f>+$C$136+$C$137</f>
        <v>3.6499999999999998E-2</v>
      </c>
      <c r="D53" s="77">
        <f>+(C53*D52)*-1</f>
        <v>0</v>
      </c>
      <c r="F53" s="78"/>
    </row>
    <row r="54" spans="1:6" x14ac:dyDescent="0.2">
      <c r="A54" s="6" t="s">
        <v>5</v>
      </c>
      <c r="B54" s="6" t="s">
        <v>66</v>
      </c>
      <c r="C54" s="54"/>
      <c r="D54" s="18"/>
      <c r="F54" s="61"/>
    </row>
    <row r="55" spans="1:6" x14ac:dyDescent="0.2">
      <c r="A55" s="75" t="s">
        <v>161</v>
      </c>
      <c r="B55" s="34" t="s">
        <v>178</v>
      </c>
      <c r="C55" s="29">
        <f>+$C$136+$C$137</f>
        <v>3.6499999999999998E-2</v>
      </c>
      <c r="D55" s="77">
        <f>+(C55*D54)*-1</f>
        <v>0</v>
      </c>
      <c r="F55" s="61"/>
    </row>
    <row r="56" spans="1:6" x14ac:dyDescent="0.2">
      <c r="A56" s="116" t="s">
        <v>6</v>
      </c>
      <c r="B56" s="116" t="s">
        <v>403</v>
      </c>
      <c r="C56" s="54"/>
      <c r="D56" s="377"/>
      <c r="F56" s="61"/>
    </row>
    <row r="57" spans="1:6" x14ac:dyDescent="0.2">
      <c r="A57" s="75" t="s">
        <v>179</v>
      </c>
      <c r="B57" s="34" t="s">
        <v>178</v>
      </c>
      <c r="C57" s="29">
        <f>+$C$136+$C$137</f>
        <v>3.6499999999999998E-2</v>
      </c>
      <c r="D57" s="77">
        <f>+(C57*D56)*-1</f>
        <v>0</v>
      </c>
      <c r="F57" s="61"/>
    </row>
    <row r="58" spans="1:6" x14ac:dyDescent="0.2">
      <c r="A58" s="116" t="s">
        <v>25</v>
      </c>
      <c r="B58" s="116" t="s">
        <v>436</v>
      </c>
      <c r="C58" s="54"/>
      <c r="D58" s="378"/>
      <c r="F58" s="131"/>
    </row>
    <row r="59" spans="1:6" x14ac:dyDescent="0.2">
      <c r="A59" s="75" t="s">
        <v>180</v>
      </c>
      <c r="B59" s="34" t="s">
        <v>178</v>
      </c>
      <c r="C59" s="29">
        <f>+$C$136+$C$137</f>
        <v>3.6499999999999998E-2</v>
      </c>
      <c r="D59" s="77">
        <f>+(C59*D58)*-1</f>
        <v>0</v>
      </c>
    </row>
    <row r="60" spans="1:6" x14ac:dyDescent="0.2">
      <c r="A60" s="116" t="s">
        <v>26</v>
      </c>
      <c r="B60" s="454" t="s">
        <v>293</v>
      </c>
      <c r="C60" s="454"/>
      <c r="D60" s="377"/>
    </row>
    <row r="61" spans="1:6" x14ac:dyDescent="0.2">
      <c r="A61" s="75" t="s">
        <v>81</v>
      </c>
      <c r="B61" s="34" t="s">
        <v>178</v>
      </c>
      <c r="C61" s="29">
        <f>+$C$136+$C$137</f>
        <v>3.6499999999999998E-2</v>
      </c>
      <c r="D61" s="77">
        <f>+(C61*D60)*-1</f>
        <v>0</v>
      </c>
    </row>
    <row r="62" spans="1:6" x14ac:dyDescent="0.2">
      <c r="A62" s="463" t="s">
        <v>29</v>
      </c>
      <c r="B62" s="465"/>
      <c r="C62" s="16"/>
      <c r="D62" s="110">
        <f>SUM(D50:D61)</f>
        <v>0</v>
      </c>
    </row>
    <row r="64" spans="1:6" x14ac:dyDescent="0.2">
      <c r="A64" s="455" t="s">
        <v>67</v>
      </c>
      <c r="B64" s="455"/>
      <c r="C64" s="455"/>
      <c r="D64" s="455"/>
    </row>
    <row r="65" spans="1:4" x14ac:dyDescent="0.2">
      <c r="A65" s="24">
        <v>2</v>
      </c>
      <c r="B65" s="455" t="s">
        <v>68</v>
      </c>
      <c r="C65" s="455"/>
      <c r="D65" s="188" t="s">
        <v>24</v>
      </c>
    </row>
    <row r="66" spans="1:4" x14ac:dyDescent="0.2">
      <c r="A66" s="25" t="s">
        <v>39</v>
      </c>
      <c r="B66" s="466" t="s">
        <v>40</v>
      </c>
      <c r="C66" s="466"/>
      <c r="D66" s="18">
        <f>+D34</f>
        <v>0</v>
      </c>
    </row>
    <row r="67" spans="1:4" x14ac:dyDescent="0.2">
      <c r="A67" s="25" t="s">
        <v>48</v>
      </c>
      <c r="B67" s="466" t="s">
        <v>49</v>
      </c>
      <c r="C67" s="466"/>
      <c r="D67" s="18">
        <f>+D46</f>
        <v>0</v>
      </c>
    </row>
    <row r="68" spans="1:4" x14ac:dyDescent="0.2">
      <c r="A68" s="25" t="s">
        <v>60</v>
      </c>
      <c r="B68" s="466" t="s">
        <v>61</v>
      </c>
      <c r="C68" s="466"/>
      <c r="D68" s="68">
        <f>+D62</f>
        <v>0</v>
      </c>
    </row>
    <row r="69" spans="1:4" x14ac:dyDescent="0.2">
      <c r="A69" s="455" t="s">
        <v>29</v>
      </c>
      <c r="B69" s="455"/>
      <c r="C69" s="455"/>
      <c r="D69" s="26">
        <f>SUM(D66:D68)</f>
        <v>0</v>
      </c>
    </row>
    <row r="71" spans="1:4" x14ac:dyDescent="0.2">
      <c r="A71" s="455" t="s">
        <v>69</v>
      </c>
      <c r="B71" s="455"/>
      <c r="C71" s="455"/>
      <c r="D71" s="455"/>
    </row>
    <row r="73" spans="1:4" x14ac:dyDescent="0.2">
      <c r="A73" s="13">
        <v>3</v>
      </c>
      <c r="B73" s="14" t="s">
        <v>70</v>
      </c>
      <c r="C73" s="183" t="s">
        <v>50</v>
      </c>
      <c r="D73" s="183" t="s">
        <v>24</v>
      </c>
    </row>
    <row r="74" spans="1:4" x14ac:dyDescent="0.2">
      <c r="A74" s="182" t="s">
        <v>3</v>
      </c>
      <c r="B74" s="34" t="s">
        <v>72</v>
      </c>
      <c r="C74" s="29" t="e">
        <f>+D74/$D$24</f>
        <v>#DIV/0!</v>
      </c>
      <c r="D74" s="118">
        <f>+'Calculo 5x2 12h Desar'!C136</f>
        <v>0</v>
      </c>
    </row>
    <row r="75" spans="1:4" x14ac:dyDescent="0.2">
      <c r="A75" s="182" t="s">
        <v>4</v>
      </c>
      <c r="B75" s="6" t="s">
        <v>73</v>
      </c>
      <c r="C75" s="52"/>
      <c r="D75" s="8">
        <f>ROUND(+D74*$C$45,2)</f>
        <v>0</v>
      </c>
    </row>
    <row r="76" spans="1:4" ht="25.5" x14ac:dyDescent="0.2">
      <c r="A76" s="182" t="s">
        <v>5</v>
      </c>
      <c r="B76" s="30" t="s">
        <v>75</v>
      </c>
      <c r="C76" s="17" t="e">
        <f>+D76/$D$24</f>
        <v>#DIV/0!</v>
      </c>
      <c r="D76" s="8">
        <f>+'Calculo 5x2 12h Desar'!C150</f>
        <v>0</v>
      </c>
    </row>
    <row r="77" spans="1:4" x14ac:dyDescent="0.2">
      <c r="A77" s="108" t="s">
        <v>6</v>
      </c>
      <c r="B77" s="6" t="s">
        <v>71</v>
      </c>
      <c r="C77" s="17" t="e">
        <f>+D77/$D$24</f>
        <v>#DIV/0!</v>
      </c>
      <c r="D77" s="8">
        <f>+'Calculo 5x2 12h Desar'!C158</f>
        <v>0</v>
      </c>
    </row>
    <row r="78" spans="1:4" ht="25.5" x14ac:dyDescent="0.2">
      <c r="A78" s="108" t="s">
        <v>25</v>
      </c>
      <c r="B78" s="30" t="s">
        <v>74</v>
      </c>
      <c r="C78" s="52"/>
      <c r="D78" s="384"/>
    </row>
    <row r="79" spans="1:4" ht="25.5" x14ac:dyDescent="0.2">
      <c r="A79" s="108" t="s">
        <v>26</v>
      </c>
      <c r="B79" s="30" t="s">
        <v>76</v>
      </c>
      <c r="C79" s="17" t="e">
        <f>+D79/$D$24</f>
        <v>#DIV/0!</v>
      </c>
      <c r="D79" s="18">
        <f>+'Calculo 5x2 12h Desar'!C172</f>
        <v>0</v>
      </c>
    </row>
    <row r="80" spans="1:4" x14ac:dyDescent="0.2">
      <c r="A80" s="463" t="s">
        <v>29</v>
      </c>
      <c r="B80" s="464"/>
      <c r="C80" s="465"/>
      <c r="D80" s="32">
        <f>SUM(D74:D79)</f>
        <v>0</v>
      </c>
    </row>
    <row r="82" spans="1:4" x14ac:dyDescent="0.2">
      <c r="A82" s="455" t="s">
        <v>84</v>
      </c>
      <c r="B82" s="455"/>
      <c r="C82" s="455"/>
      <c r="D82" s="455"/>
    </row>
    <row r="84" spans="1:4" x14ac:dyDescent="0.2">
      <c r="A84" s="467" t="s">
        <v>87</v>
      </c>
      <c r="B84" s="467"/>
      <c r="C84" s="467"/>
      <c r="D84" s="467"/>
    </row>
    <row r="85" spans="1:4" x14ac:dyDescent="0.2">
      <c r="A85" s="13" t="s">
        <v>85</v>
      </c>
      <c r="B85" s="463" t="s">
        <v>86</v>
      </c>
      <c r="C85" s="465"/>
      <c r="D85" s="183" t="s">
        <v>24</v>
      </c>
    </row>
    <row r="86" spans="1:4" x14ac:dyDescent="0.2">
      <c r="A86" s="6" t="s">
        <v>3</v>
      </c>
      <c r="B86" s="470" t="s">
        <v>88</v>
      </c>
      <c r="C86" s="471"/>
      <c r="D86" s="8"/>
    </row>
    <row r="87" spans="1:4" x14ac:dyDescent="0.2">
      <c r="A87" s="34" t="s">
        <v>4</v>
      </c>
      <c r="B87" s="488" t="s">
        <v>86</v>
      </c>
      <c r="C87" s="489"/>
      <c r="D87" s="120">
        <f>+'Calculo 5x2 12h Desar'!C185</f>
        <v>0</v>
      </c>
    </row>
    <row r="88" spans="1:4" s="60" customFormat="1" x14ac:dyDescent="0.2">
      <c r="A88" s="34" t="s">
        <v>5</v>
      </c>
      <c r="B88" s="488" t="s">
        <v>89</v>
      </c>
      <c r="C88" s="489"/>
      <c r="D88" s="120">
        <f>+'Calculo 5x2 12h Desar'!C194</f>
        <v>0</v>
      </c>
    </row>
    <row r="89" spans="1:4" s="60" customFormat="1" x14ac:dyDescent="0.2">
      <c r="A89" s="34" t="s">
        <v>6</v>
      </c>
      <c r="B89" s="488" t="s">
        <v>90</v>
      </c>
      <c r="C89" s="489"/>
      <c r="D89" s="120">
        <f>+'Calculo 5x2 12h Desar'!C202</f>
        <v>0</v>
      </c>
    </row>
    <row r="90" spans="1:4" s="60" customFormat="1" ht="13.5" x14ac:dyDescent="0.2">
      <c r="A90" s="34" t="s">
        <v>25</v>
      </c>
      <c r="B90" s="488" t="s">
        <v>287</v>
      </c>
      <c r="C90" s="489"/>
      <c r="D90" s="120"/>
    </row>
    <row r="91" spans="1:4" s="60" customFormat="1" x14ac:dyDescent="0.2">
      <c r="A91" s="34" t="s">
        <v>26</v>
      </c>
      <c r="B91" s="488" t="s">
        <v>93</v>
      </c>
      <c r="C91" s="489"/>
      <c r="D91" s="120">
        <f>+'Calculo 5x2 12h Desar'!C210</f>
        <v>0</v>
      </c>
    </row>
    <row r="92" spans="1:4" x14ac:dyDescent="0.2">
      <c r="A92" s="6" t="s">
        <v>27</v>
      </c>
      <c r="B92" s="470" t="s">
        <v>36</v>
      </c>
      <c r="C92" s="471"/>
      <c r="D92" s="8"/>
    </row>
    <row r="93" spans="1:4" x14ac:dyDescent="0.2">
      <c r="A93" s="6" t="s">
        <v>28</v>
      </c>
      <c r="B93" s="470" t="s">
        <v>94</v>
      </c>
      <c r="C93" s="471"/>
      <c r="D93" s="384"/>
    </row>
    <row r="94" spans="1:4" x14ac:dyDescent="0.2">
      <c r="A94" s="474" t="s">
        <v>29</v>
      </c>
      <c r="B94" s="474"/>
      <c r="C94" s="474"/>
      <c r="D94" s="9">
        <f>SUM(D86:D93)</f>
        <v>0</v>
      </c>
    </row>
    <row r="95" spans="1:4" x14ac:dyDescent="0.2">
      <c r="D95" s="15"/>
    </row>
    <row r="96" spans="1:4" x14ac:dyDescent="0.2">
      <c r="A96" s="13" t="s">
        <v>99</v>
      </c>
      <c r="B96" s="463" t="s">
        <v>92</v>
      </c>
      <c r="C96" s="465"/>
      <c r="D96" s="183" t="s">
        <v>24</v>
      </c>
    </row>
    <row r="97" spans="1:4" s="60" customFormat="1" x14ac:dyDescent="0.2">
      <c r="A97" s="34" t="s">
        <v>3</v>
      </c>
      <c r="B97" s="475" t="s">
        <v>96</v>
      </c>
      <c r="C97" s="476"/>
      <c r="D97" s="120">
        <f>+'Calculo 5x2 12h Desar'!C234</f>
        <v>0</v>
      </c>
    </row>
    <row r="98" spans="1:4" s="60" customFormat="1" ht="29.25" customHeight="1" x14ac:dyDescent="0.2">
      <c r="A98" s="34" t="s">
        <v>4</v>
      </c>
      <c r="B98" s="490" t="s">
        <v>98</v>
      </c>
      <c r="C98" s="491"/>
      <c r="D98" s="384"/>
    </row>
    <row r="99" spans="1:4" s="60" customFormat="1" ht="28.5" customHeight="1" x14ac:dyDescent="0.2">
      <c r="A99" s="34" t="s">
        <v>5</v>
      </c>
      <c r="B99" s="490" t="s">
        <v>97</v>
      </c>
      <c r="C99" s="491"/>
      <c r="D99" s="384"/>
    </row>
    <row r="100" spans="1:4" x14ac:dyDescent="0.2">
      <c r="A100" s="6" t="s">
        <v>6</v>
      </c>
      <c r="B100" s="470" t="s">
        <v>36</v>
      </c>
      <c r="C100" s="471"/>
      <c r="D100" s="8"/>
    </row>
    <row r="101" spans="1:4" x14ac:dyDescent="0.2">
      <c r="A101" s="474" t="s">
        <v>29</v>
      </c>
      <c r="B101" s="474"/>
      <c r="C101" s="474"/>
      <c r="D101" s="9">
        <f>SUM(D97:D100)</f>
        <v>0</v>
      </c>
    </row>
    <row r="102" spans="1:4" x14ac:dyDescent="0.2">
      <c r="D102" s="15"/>
    </row>
    <row r="103" spans="1:4" x14ac:dyDescent="0.2">
      <c r="A103" s="13" t="s">
        <v>91</v>
      </c>
      <c r="B103" s="474" t="s">
        <v>100</v>
      </c>
      <c r="C103" s="474"/>
      <c r="D103" s="183" t="s">
        <v>24</v>
      </c>
    </row>
    <row r="104" spans="1:4" s="50" customFormat="1" ht="35.25" customHeight="1" x14ac:dyDescent="0.2">
      <c r="A104" s="108" t="s">
        <v>3</v>
      </c>
      <c r="B104" s="492" t="s">
        <v>288</v>
      </c>
      <c r="C104" s="492"/>
      <c r="D104" s="49"/>
    </row>
    <row r="105" spans="1:4" x14ac:dyDescent="0.2">
      <c r="A105" s="474" t="s">
        <v>29</v>
      </c>
      <c r="B105" s="474"/>
      <c r="C105" s="474"/>
      <c r="D105" s="9">
        <f>SUM(D104:D104)</f>
        <v>0</v>
      </c>
    </row>
    <row r="107" spans="1:4" x14ac:dyDescent="0.2">
      <c r="A107" s="185" t="s">
        <v>109</v>
      </c>
      <c r="B107" s="185"/>
      <c r="C107" s="185"/>
      <c r="D107" s="185"/>
    </row>
    <row r="108" spans="1:4" x14ac:dyDescent="0.2">
      <c r="A108" s="6" t="s">
        <v>85</v>
      </c>
      <c r="B108" s="470" t="s">
        <v>86</v>
      </c>
      <c r="C108" s="471"/>
      <c r="D108" s="18">
        <f>+D94</f>
        <v>0</v>
      </c>
    </row>
    <row r="109" spans="1:4" x14ac:dyDescent="0.2">
      <c r="A109" s="6" t="s">
        <v>99</v>
      </c>
      <c r="B109" s="470" t="s">
        <v>92</v>
      </c>
      <c r="C109" s="471"/>
      <c r="D109" s="18">
        <f>+D101</f>
        <v>0</v>
      </c>
    </row>
    <row r="110" spans="1:4" x14ac:dyDescent="0.2">
      <c r="A110" s="74"/>
      <c r="B110" s="472" t="s">
        <v>110</v>
      </c>
      <c r="C110" s="473"/>
      <c r="D110" s="73">
        <f>+D109+D108</f>
        <v>0</v>
      </c>
    </row>
    <row r="111" spans="1:4" x14ac:dyDescent="0.2">
      <c r="A111" s="6" t="s">
        <v>91</v>
      </c>
      <c r="B111" s="470" t="s">
        <v>100</v>
      </c>
      <c r="C111" s="471"/>
      <c r="D111" s="18">
        <f>+D105</f>
        <v>0</v>
      </c>
    </row>
    <row r="112" spans="1:4" x14ac:dyDescent="0.2">
      <c r="A112" s="494" t="s">
        <v>29</v>
      </c>
      <c r="B112" s="494"/>
      <c r="C112" s="494"/>
      <c r="D112" s="71">
        <f>+D111+D110</f>
        <v>0</v>
      </c>
    </row>
    <row r="114" spans="1:4" x14ac:dyDescent="0.2">
      <c r="A114" s="455" t="s">
        <v>151</v>
      </c>
      <c r="B114" s="455"/>
      <c r="C114" s="455"/>
      <c r="D114" s="455"/>
    </row>
    <row r="116" spans="1:4" x14ac:dyDescent="0.2">
      <c r="A116" s="13">
        <v>5</v>
      </c>
      <c r="B116" s="463" t="s">
        <v>152</v>
      </c>
      <c r="C116" s="465"/>
      <c r="D116" s="183" t="s">
        <v>24</v>
      </c>
    </row>
    <row r="117" spans="1:4" x14ac:dyDescent="0.2">
      <c r="A117" s="6" t="s">
        <v>3</v>
      </c>
      <c r="B117" s="388" t="s">
        <v>153</v>
      </c>
      <c r="C117" s="388"/>
      <c r="D117" s="8">
        <f>+Uniforme!G165</f>
        <v>0</v>
      </c>
    </row>
    <row r="118" spans="1:4" x14ac:dyDescent="0.2">
      <c r="A118" s="6" t="s">
        <v>177</v>
      </c>
      <c r="B118" s="34" t="s">
        <v>178</v>
      </c>
      <c r="C118" s="29">
        <f>+$C$136+$C$137</f>
        <v>3.6499999999999998E-2</v>
      </c>
      <c r="D118" s="77">
        <f>+(C118*D117)*-1</f>
        <v>0</v>
      </c>
    </row>
    <row r="119" spans="1:4" x14ac:dyDescent="0.2">
      <c r="A119" s="6" t="s">
        <v>4</v>
      </c>
      <c r="B119" s="388" t="s">
        <v>154</v>
      </c>
      <c r="C119" s="388"/>
      <c r="D119" s="8"/>
    </row>
    <row r="120" spans="1:4" x14ac:dyDescent="0.2">
      <c r="A120" s="6" t="s">
        <v>41</v>
      </c>
      <c r="B120" s="34" t="s">
        <v>178</v>
      </c>
      <c r="C120" s="29">
        <f>+$C$136+$C$137</f>
        <v>3.6499999999999998E-2</v>
      </c>
      <c r="D120" s="77">
        <f>+(C120*D119)*-1</f>
        <v>0</v>
      </c>
    </row>
    <row r="121" spans="1:4" x14ac:dyDescent="0.2">
      <c r="A121" s="6" t="s">
        <v>5</v>
      </c>
      <c r="B121" s="388" t="s">
        <v>155</v>
      </c>
      <c r="C121" s="388"/>
      <c r="D121" s="8">
        <f>+Uniforme!F172</f>
        <v>0</v>
      </c>
    </row>
    <row r="122" spans="1:4" x14ac:dyDescent="0.2">
      <c r="A122" s="6" t="s">
        <v>161</v>
      </c>
      <c r="B122" s="34" t="s">
        <v>178</v>
      </c>
      <c r="C122" s="29">
        <f>+$C$136+$C$137</f>
        <v>3.6499999999999998E-2</v>
      </c>
      <c r="D122" s="77">
        <f>+(C122*D121)*-1</f>
        <v>0</v>
      </c>
    </row>
    <row r="123" spans="1:4" x14ac:dyDescent="0.2">
      <c r="A123" s="6" t="s">
        <v>6</v>
      </c>
      <c r="B123" s="388" t="s">
        <v>36</v>
      </c>
      <c r="C123" s="388"/>
      <c r="D123" s="8"/>
    </row>
    <row r="124" spans="1:4" x14ac:dyDescent="0.2">
      <c r="A124" s="6" t="s">
        <v>179</v>
      </c>
      <c r="B124" s="34" t="s">
        <v>178</v>
      </c>
      <c r="C124" s="29">
        <f>+$C$136+$C$137</f>
        <v>3.6499999999999998E-2</v>
      </c>
      <c r="D124" s="77">
        <f>+(C124*D123)*-1</f>
        <v>0</v>
      </c>
    </row>
    <row r="125" spans="1:4" x14ac:dyDescent="0.2">
      <c r="A125" s="474" t="s">
        <v>29</v>
      </c>
      <c r="B125" s="474"/>
      <c r="C125" s="474"/>
      <c r="D125" s="9">
        <f>SUM(D117:D123)</f>
        <v>0</v>
      </c>
    </row>
    <row r="127" spans="1:4" x14ac:dyDescent="0.2">
      <c r="A127" s="455" t="s">
        <v>156</v>
      </c>
      <c r="B127" s="455"/>
      <c r="C127" s="455"/>
      <c r="D127" s="455"/>
    </row>
    <row r="129" spans="1:4" x14ac:dyDescent="0.2">
      <c r="A129" s="13">
        <v>6</v>
      </c>
      <c r="B129" s="14" t="s">
        <v>157</v>
      </c>
      <c r="C129" s="187" t="s">
        <v>50</v>
      </c>
      <c r="D129" s="183" t="s">
        <v>24</v>
      </c>
    </row>
    <row r="130" spans="1:4" x14ac:dyDescent="0.2">
      <c r="A130" s="116" t="s">
        <v>3</v>
      </c>
      <c r="B130" s="116" t="s">
        <v>158</v>
      </c>
      <c r="C130" s="114">
        <v>0.03</v>
      </c>
      <c r="D130" s="377">
        <f>($D$125+$D$112+$D$80+$D$69+$D$24)*C130</f>
        <v>0</v>
      </c>
    </row>
    <row r="131" spans="1:4" x14ac:dyDescent="0.2">
      <c r="A131" s="116" t="s">
        <v>4</v>
      </c>
      <c r="B131" s="116" t="s">
        <v>159</v>
      </c>
      <c r="C131" s="114">
        <v>0.03</v>
      </c>
      <c r="D131" s="377">
        <f>($D$125+$D$112+$D$80+$D$69+$D$24+D130)*C131</f>
        <v>0</v>
      </c>
    </row>
    <row r="132" spans="1:4" s="79" customFormat="1" x14ac:dyDescent="0.2">
      <c r="A132" s="495" t="s">
        <v>181</v>
      </c>
      <c r="B132" s="496"/>
      <c r="C132" s="497"/>
      <c r="D132" s="81">
        <f>++D131+D130+D125+D112+D80+D69+D24</f>
        <v>0</v>
      </c>
    </row>
    <row r="133" spans="1:4" s="79" customFormat="1" x14ac:dyDescent="0.2">
      <c r="A133" s="498" t="s">
        <v>182</v>
      </c>
      <c r="B133" s="499"/>
      <c r="C133" s="500"/>
      <c r="D133" s="81">
        <f>ROUND(D132/(1-(C136+C137+C139+C141+C142)),2)</f>
        <v>0</v>
      </c>
    </row>
    <row r="134" spans="1:4" x14ac:dyDescent="0.2">
      <c r="A134" s="6" t="s">
        <v>5</v>
      </c>
      <c r="B134" s="6" t="s">
        <v>160</v>
      </c>
      <c r="C134" s="17"/>
      <c r="D134" s="6"/>
    </row>
    <row r="135" spans="1:4" x14ac:dyDescent="0.2">
      <c r="A135" s="6" t="s">
        <v>161</v>
      </c>
      <c r="B135" s="6" t="s">
        <v>162</v>
      </c>
      <c r="C135" s="17"/>
      <c r="D135" s="6"/>
    </row>
    <row r="136" spans="1:4" x14ac:dyDescent="0.2">
      <c r="A136" s="116" t="s">
        <v>163</v>
      </c>
      <c r="B136" s="116" t="s">
        <v>165</v>
      </c>
      <c r="C136" s="114">
        <v>6.4999999999999997E-3</v>
      </c>
      <c r="D136" s="377">
        <f>ROUND(C136*$D$133,2)</f>
        <v>0</v>
      </c>
    </row>
    <row r="137" spans="1:4" x14ac:dyDescent="0.2">
      <c r="A137" s="116" t="s">
        <v>164</v>
      </c>
      <c r="B137" s="116" t="s">
        <v>166</v>
      </c>
      <c r="C137" s="114">
        <v>0.03</v>
      </c>
      <c r="D137" s="377">
        <f>ROUND(C137*$D$133,2)</f>
        <v>0</v>
      </c>
    </row>
    <row r="138" spans="1:4" x14ac:dyDescent="0.2">
      <c r="A138" s="6" t="s">
        <v>167</v>
      </c>
      <c r="B138" s="6" t="s">
        <v>168</v>
      </c>
      <c r="C138" s="17"/>
      <c r="D138" s="18"/>
    </row>
    <row r="139" spans="1:4" x14ac:dyDescent="0.2">
      <c r="A139" s="6" t="s">
        <v>170</v>
      </c>
      <c r="B139" s="6" t="s">
        <v>169</v>
      </c>
      <c r="C139" s="17"/>
      <c r="D139" s="6"/>
    </row>
    <row r="140" spans="1:4" x14ac:dyDescent="0.2">
      <c r="A140" s="6" t="s">
        <v>171</v>
      </c>
      <c r="B140" s="6" t="s">
        <v>172</v>
      </c>
      <c r="C140" s="17"/>
      <c r="D140" s="6"/>
    </row>
    <row r="141" spans="1:4" x14ac:dyDescent="0.2">
      <c r="A141" s="116" t="s">
        <v>173</v>
      </c>
      <c r="B141" s="116" t="s">
        <v>174</v>
      </c>
      <c r="C141" s="114">
        <v>0.05</v>
      </c>
      <c r="D141" s="377">
        <f>ROUND(C141*$D$133,2)</f>
        <v>0</v>
      </c>
    </row>
    <row r="142" spans="1:4" x14ac:dyDescent="0.2">
      <c r="A142" s="6" t="s">
        <v>175</v>
      </c>
      <c r="B142" s="6" t="s">
        <v>176</v>
      </c>
      <c r="C142" s="17"/>
      <c r="D142" s="6"/>
    </row>
    <row r="143" spans="1:4" x14ac:dyDescent="0.2">
      <c r="A143" s="463" t="s">
        <v>29</v>
      </c>
      <c r="B143" s="464"/>
      <c r="C143" s="80">
        <f>+C142+C141+C139+C137+C136+C131+C130</f>
        <v>0.14650000000000002</v>
      </c>
      <c r="D143" s="9">
        <f>+D141+D139+D137+D136+D131+D130</f>
        <v>0</v>
      </c>
    </row>
    <row r="145" spans="1:4" x14ac:dyDescent="0.2">
      <c r="A145" s="501" t="s">
        <v>183</v>
      </c>
      <c r="B145" s="501"/>
      <c r="C145" s="501"/>
      <c r="D145" s="501"/>
    </row>
    <row r="146" spans="1:4" x14ac:dyDescent="0.2">
      <c r="A146" s="6" t="s">
        <v>3</v>
      </c>
      <c r="B146" s="456" t="s">
        <v>185</v>
      </c>
      <c r="C146" s="456"/>
      <c r="D146" s="8">
        <f>+D24</f>
        <v>0</v>
      </c>
    </row>
    <row r="147" spans="1:4" x14ac:dyDescent="0.2">
      <c r="A147" s="6" t="s">
        <v>184</v>
      </c>
      <c r="B147" s="456" t="s">
        <v>186</v>
      </c>
      <c r="C147" s="456"/>
      <c r="D147" s="8">
        <f>+D69</f>
        <v>0</v>
      </c>
    </row>
    <row r="148" spans="1:4" x14ac:dyDescent="0.2">
      <c r="A148" s="6" t="s">
        <v>5</v>
      </c>
      <c r="B148" s="456" t="s">
        <v>187</v>
      </c>
      <c r="C148" s="456"/>
      <c r="D148" s="8">
        <f>+D80</f>
        <v>0</v>
      </c>
    </row>
    <row r="149" spans="1:4" x14ac:dyDescent="0.2">
      <c r="A149" s="6" t="s">
        <v>6</v>
      </c>
      <c r="B149" s="456" t="s">
        <v>188</v>
      </c>
      <c r="C149" s="456"/>
      <c r="D149" s="8">
        <f>+D112</f>
        <v>0</v>
      </c>
    </row>
    <row r="150" spans="1:4" x14ac:dyDescent="0.2">
      <c r="A150" s="6" t="s">
        <v>25</v>
      </c>
      <c r="B150" s="456" t="s">
        <v>189</v>
      </c>
      <c r="C150" s="456"/>
      <c r="D150" s="8">
        <f>+D125</f>
        <v>0</v>
      </c>
    </row>
    <row r="151" spans="1:4" x14ac:dyDescent="0.2">
      <c r="B151" s="457" t="s">
        <v>192</v>
      </c>
      <c r="C151" s="457"/>
      <c r="D151" s="72">
        <f>SUM(D146:D150)</f>
        <v>0</v>
      </c>
    </row>
    <row r="152" spans="1:4" x14ac:dyDescent="0.2">
      <c r="A152" s="6" t="s">
        <v>26</v>
      </c>
      <c r="B152" s="456" t="s">
        <v>190</v>
      </c>
      <c r="C152" s="456"/>
      <c r="D152" s="8">
        <f>+D143</f>
        <v>0</v>
      </c>
    </row>
    <row r="154" spans="1:4" x14ac:dyDescent="0.2">
      <c r="A154" s="524" t="s">
        <v>191</v>
      </c>
      <c r="B154" s="524"/>
      <c r="C154" s="524"/>
      <c r="D154" s="82">
        <f>ROUND(+D152+D151,2)</f>
        <v>0</v>
      </c>
    </row>
    <row r="156" spans="1:4" x14ac:dyDescent="0.2">
      <c r="A156" s="459" t="s">
        <v>77</v>
      </c>
      <c r="B156" s="459"/>
      <c r="C156" s="459"/>
      <c r="D156" s="459"/>
    </row>
    <row r="158" spans="1:4" x14ac:dyDescent="0.2">
      <c r="A158" s="6" t="s">
        <v>3</v>
      </c>
      <c r="B158" s="6" t="s">
        <v>46</v>
      </c>
      <c r="C158" s="44" t="e">
        <f>+C30</f>
        <v>#DIV/0!</v>
      </c>
      <c r="D158" s="8">
        <f>+D30</f>
        <v>0</v>
      </c>
    </row>
    <row r="159" spans="1:4" x14ac:dyDescent="0.2">
      <c r="A159" s="6" t="s">
        <v>4</v>
      </c>
      <c r="B159" s="6" t="s">
        <v>45</v>
      </c>
      <c r="C159" s="44" t="e">
        <f>+C32</f>
        <v>#DIV/0!</v>
      </c>
      <c r="D159" s="8">
        <f>+D32</f>
        <v>0</v>
      </c>
    </row>
    <row r="160" spans="1:4" x14ac:dyDescent="0.2">
      <c r="A160" s="6" t="s">
        <v>5</v>
      </c>
      <c r="B160" s="6" t="s">
        <v>44</v>
      </c>
      <c r="C160" s="44" t="e">
        <f>+C33</f>
        <v>#DIV/0!</v>
      </c>
      <c r="D160" s="8">
        <f>+D33</f>
        <v>0</v>
      </c>
    </row>
    <row r="161" spans="1:5" ht="25.5" x14ac:dyDescent="0.2">
      <c r="A161" s="6" t="s">
        <v>6</v>
      </c>
      <c r="B161" s="30" t="s">
        <v>75</v>
      </c>
      <c r="C161" s="17" t="e">
        <f>+C76</f>
        <v>#DIV/0!</v>
      </c>
      <c r="D161" s="8">
        <f>+D76</f>
        <v>0</v>
      </c>
    </row>
    <row r="162" spans="1:5" ht="25.5" x14ac:dyDescent="0.2">
      <c r="A162" s="6" t="s">
        <v>25</v>
      </c>
      <c r="B162" s="30" t="s">
        <v>76</v>
      </c>
      <c r="C162" s="44" t="e">
        <f>+C79</f>
        <v>#DIV/0!</v>
      </c>
      <c r="D162" s="18">
        <f>+D79</f>
        <v>0</v>
      </c>
    </row>
    <row r="163" spans="1:5" x14ac:dyDescent="0.2">
      <c r="A163" s="6" t="s">
        <v>81</v>
      </c>
      <c r="B163" s="34" t="s">
        <v>79</v>
      </c>
      <c r="C163" s="458" t="e">
        <f>+(D163+D164+D165)/D24</f>
        <v>#DIV/0!</v>
      </c>
      <c r="D163" s="8">
        <f>ROUND(D30*(SUM($C$38:$C$45)),2)</f>
        <v>0</v>
      </c>
    </row>
    <row r="164" spans="1:5" x14ac:dyDescent="0.2">
      <c r="A164" s="6" t="s">
        <v>82</v>
      </c>
      <c r="B164" s="34" t="s">
        <v>78</v>
      </c>
      <c r="C164" s="458"/>
      <c r="D164" s="8">
        <f>ROUND(D32*(SUM($C$38:$C$45)),2)</f>
        <v>0</v>
      </c>
    </row>
    <row r="165" spans="1:5" x14ac:dyDescent="0.2">
      <c r="A165" s="6" t="s">
        <v>83</v>
      </c>
      <c r="B165" s="34" t="s">
        <v>80</v>
      </c>
      <c r="C165" s="458"/>
      <c r="D165" s="8">
        <f>ROUND(D33*(SUM($C$38:$C$45)),2)</f>
        <v>0</v>
      </c>
    </row>
    <row r="166" spans="1:5" x14ac:dyDescent="0.2">
      <c r="A166" s="460" t="s">
        <v>29</v>
      </c>
      <c r="B166" s="461"/>
      <c r="C166" s="462"/>
      <c r="D166" s="45">
        <f>SUM(D158:D165)</f>
        <v>0</v>
      </c>
    </row>
    <row r="167" spans="1:5" x14ac:dyDescent="0.2">
      <c r="B167" s="96"/>
      <c r="C167" s="96"/>
      <c r="D167" s="96"/>
    </row>
    <row r="168" spans="1:5" s="67" customFormat="1" ht="45" customHeight="1" x14ac:dyDescent="0.2">
      <c r="A168" s="452" t="s">
        <v>289</v>
      </c>
      <c r="B168" s="452"/>
      <c r="C168" s="452"/>
      <c r="D168" s="452"/>
      <c r="E168" s="128"/>
    </row>
    <row r="169" spans="1:5" x14ac:dyDescent="0.2">
      <c r="A169" s="97"/>
      <c r="B169" s="97"/>
      <c r="C169" s="97"/>
      <c r="D169" s="97"/>
      <c r="E169" s="97"/>
    </row>
    <row r="170" spans="1:5" ht="44.25" customHeight="1" x14ac:dyDescent="0.2">
      <c r="A170" s="453" t="s">
        <v>290</v>
      </c>
      <c r="B170" s="453"/>
      <c r="C170" s="453"/>
      <c r="D170" s="453"/>
      <c r="E170" s="97"/>
    </row>
    <row r="171" spans="1:5" x14ac:dyDescent="0.2">
      <c r="A171" s="97"/>
      <c r="B171" s="97"/>
      <c r="C171" s="97"/>
      <c r="D171" s="97"/>
      <c r="E171" s="97"/>
    </row>
    <row r="172" spans="1:5" x14ac:dyDescent="0.2">
      <c r="A172" s="97"/>
      <c r="B172" s="97"/>
      <c r="C172" s="97"/>
      <c r="D172" s="97"/>
      <c r="E172" s="97"/>
    </row>
    <row r="173" spans="1:5" x14ac:dyDescent="0.2">
      <c r="A173" s="97"/>
      <c r="B173" s="97"/>
      <c r="C173" s="97"/>
      <c r="D173" s="97"/>
      <c r="E173" s="97"/>
    </row>
    <row r="174" spans="1:5" x14ac:dyDescent="0.2">
      <c r="A174" s="97"/>
      <c r="B174" s="97"/>
      <c r="C174" s="97"/>
      <c r="D174" s="97"/>
      <c r="E174" s="97"/>
    </row>
    <row r="175" spans="1:5" x14ac:dyDescent="0.2">
      <c r="A175" s="97"/>
      <c r="B175" s="97"/>
      <c r="C175" s="97"/>
      <c r="D175" s="97"/>
      <c r="E175" s="97"/>
    </row>
    <row r="176" spans="1:5" x14ac:dyDescent="0.2">
      <c r="A176" s="97"/>
      <c r="B176" s="97"/>
      <c r="C176" s="97"/>
      <c r="D176" s="97"/>
      <c r="E176" s="97"/>
    </row>
    <row r="177" spans="1:5" x14ac:dyDescent="0.2">
      <c r="A177" s="97"/>
      <c r="B177" s="97"/>
      <c r="C177" s="97"/>
      <c r="D177" s="97"/>
      <c r="E177" s="97"/>
    </row>
    <row r="178" spans="1:5" x14ac:dyDescent="0.2">
      <c r="A178" s="97"/>
      <c r="B178" s="97"/>
      <c r="C178" s="97"/>
      <c r="D178" s="97"/>
      <c r="E178" s="97"/>
    </row>
    <row r="179" spans="1:5" x14ac:dyDescent="0.2">
      <c r="A179" s="97"/>
      <c r="B179" s="97"/>
      <c r="C179" s="97"/>
      <c r="D179" s="97"/>
      <c r="E179" s="97"/>
    </row>
    <row r="180" spans="1:5" x14ac:dyDescent="0.2">
      <c r="A180" s="97"/>
      <c r="B180" s="97"/>
      <c r="C180" s="97"/>
      <c r="D180" s="97"/>
      <c r="E180" s="97"/>
    </row>
    <row r="181" spans="1:5" x14ac:dyDescent="0.2">
      <c r="A181" s="97"/>
      <c r="B181" s="97"/>
      <c r="C181" s="97"/>
      <c r="D181" s="97"/>
      <c r="E181" s="97"/>
    </row>
    <row r="182" spans="1:5" x14ac:dyDescent="0.2">
      <c r="A182" s="97"/>
      <c r="B182" s="97"/>
      <c r="C182" s="97"/>
      <c r="D182" s="97"/>
      <c r="E182" s="97"/>
    </row>
    <row r="183" spans="1:5" x14ac:dyDescent="0.2">
      <c r="A183" s="97"/>
      <c r="B183" s="97"/>
      <c r="C183" s="97"/>
      <c r="D183" s="97"/>
      <c r="E183" s="97"/>
    </row>
    <row r="184" spans="1:5" x14ac:dyDescent="0.2">
      <c r="A184" s="97"/>
      <c r="B184" s="97"/>
      <c r="C184" s="97"/>
      <c r="D184" s="97"/>
      <c r="E184" s="97"/>
    </row>
  </sheetData>
  <mergeCells count="84">
    <mergeCell ref="A166:C166"/>
    <mergeCell ref="A168:D168"/>
    <mergeCell ref="A170:D170"/>
    <mergeCell ref="B152:C152"/>
    <mergeCell ref="A127:D127"/>
    <mergeCell ref="A132:C132"/>
    <mergeCell ref="A133:C133"/>
    <mergeCell ref="A143:B143"/>
    <mergeCell ref="A145:D145"/>
    <mergeCell ref="B146:C146"/>
    <mergeCell ref="B147:C147"/>
    <mergeCell ref="B148:C148"/>
    <mergeCell ref="B149:C149"/>
    <mergeCell ref="B150:C150"/>
    <mergeCell ref="B151:C151"/>
    <mergeCell ref="A154:C154"/>
    <mergeCell ref="A156:D156"/>
    <mergeCell ref="C163:C165"/>
    <mergeCell ref="A125:C125"/>
    <mergeCell ref="B108:C108"/>
    <mergeCell ref="B109:C109"/>
    <mergeCell ref="B110:C110"/>
    <mergeCell ref="B111:C111"/>
    <mergeCell ref="A112:C112"/>
    <mergeCell ref="A114:D114"/>
    <mergeCell ref="B116:C116"/>
    <mergeCell ref="B117:C117"/>
    <mergeCell ref="B119:C119"/>
    <mergeCell ref="B121:C121"/>
    <mergeCell ref="B123:C123"/>
    <mergeCell ref="A105:C105"/>
    <mergeCell ref="B92:C92"/>
    <mergeCell ref="B93:C93"/>
    <mergeCell ref="A94:C94"/>
    <mergeCell ref="B96:C96"/>
    <mergeCell ref="B97:C97"/>
    <mergeCell ref="B98:C98"/>
    <mergeCell ref="B99:C99"/>
    <mergeCell ref="B100:C100"/>
    <mergeCell ref="A101:C101"/>
    <mergeCell ref="B103:C103"/>
    <mergeCell ref="B104:C104"/>
    <mergeCell ref="B91:C91"/>
    <mergeCell ref="A69:C69"/>
    <mergeCell ref="A71:D71"/>
    <mergeCell ref="A80:C80"/>
    <mergeCell ref="A82:D82"/>
    <mergeCell ref="A84:D84"/>
    <mergeCell ref="B85:C85"/>
    <mergeCell ref="B86:C86"/>
    <mergeCell ref="B87:C87"/>
    <mergeCell ref="B88:C88"/>
    <mergeCell ref="B89:C89"/>
    <mergeCell ref="B90:C90"/>
    <mergeCell ref="B68:C68"/>
    <mergeCell ref="A26:D26"/>
    <mergeCell ref="A28:D28"/>
    <mergeCell ref="A34:C34"/>
    <mergeCell ref="A36:D36"/>
    <mergeCell ref="A48:D48"/>
    <mergeCell ref="B60:C60"/>
    <mergeCell ref="A62:B62"/>
    <mergeCell ref="A64:D64"/>
    <mergeCell ref="B65:C65"/>
    <mergeCell ref="B66:C66"/>
    <mergeCell ref="B67:C67"/>
    <mergeCell ref="A24:C24"/>
    <mergeCell ref="C8:D8"/>
    <mergeCell ref="A10:D10"/>
    <mergeCell ref="B12:C12"/>
    <mergeCell ref="B15:C15"/>
    <mergeCell ref="B16:C16"/>
    <mergeCell ref="B17:C17"/>
    <mergeCell ref="B18:C18"/>
    <mergeCell ref="B19:C19"/>
    <mergeCell ref="B21:C21"/>
    <mergeCell ref="B22:C22"/>
    <mergeCell ref="B23:C23"/>
    <mergeCell ref="C7:D7"/>
    <mergeCell ref="A1:D1"/>
    <mergeCell ref="A3:D3"/>
    <mergeCell ref="C4:D4"/>
    <mergeCell ref="C5:D5"/>
    <mergeCell ref="C6:D6"/>
  </mergeCells>
  <pageMargins left="1.0629921259842521" right="0.51181102362204722" top="0.38" bottom="0.55000000000000004" header="0.31496062992125984" footer="0.31496062992125984"/>
  <pageSetup paperSize="9" scale="90" orientation="portrait" r:id="rId1"/>
  <headerFooter>
    <oddFooter>&amp;A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tabColor theme="6" tint="-0.249977111117893"/>
  </sheetPr>
  <dimension ref="A1:D244"/>
  <sheetViews>
    <sheetView topLeftCell="A10" workbookViewId="0">
      <selection activeCell="E56" sqref="E56"/>
    </sheetView>
  </sheetViews>
  <sheetFormatPr defaultRowHeight="12.75" x14ac:dyDescent="0.2"/>
  <cols>
    <col min="1" max="1" width="64.5" customWidth="1"/>
    <col min="2" max="3" width="12.25" bestFit="1" customWidth="1"/>
    <col min="4" max="4" width="9.375" bestFit="1" customWidth="1"/>
    <col min="5" max="5" width="69.125" customWidth="1"/>
  </cols>
  <sheetData>
    <row r="1" spans="1:3" ht="36" customHeight="1" x14ac:dyDescent="0.25">
      <c r="A1" s="557" t="s">
        <v>361</v>
      </c>
      <c r="B1" s="557"/>
      <c r="C1" s="557"/>
    </row>
    <row r="3" spans="1:3" x14ac:dyDescent="0.2">
      <c r="A3" s="6" t="s">
        <v>345</v>
      </c>
      <c r="B3" s="6">
        <v>220</v>
      </c>
    </row>
    <row r="4" spans="1:3" x14ac:dyDescent="0.2">
      <c r="A4" s="6" t="s">
        <v>228</v>
      </c>
      <c r="B4" s="6">
        <v>365.25</v>
      </c>
    </row>
    <row r="5" spans="1:3" x14ac:dyDescent="0.2">
      <c r="A5" s="6" t="s">
        <v>230</v>
      </c>
      <c r="B5" s="51">
        <f>(365.25/12)/(7/5)</f>
        <v>21.741071428571431</v>
      </c>
    </row>
    <row r="6" spans="1:3" x14ac:dyDescent="0.2">
      <c r="A6" s="34" t="s">
        <v>30</v>
      </c>
      <c r="B6" s="18">
        <f>+'Vigilante 5x2 12h Desar'!D12</f>
        <v>0</v>
      </c>
    </row>
    <row r="7" spans="1:3" x14ac:dyDescent="0.2">
      <c r="A7" s="34" t="s">
        <v>241</v>
      </c>
      <c r="B7" s="18">
        <f>+'Vigilante 5x2 12h Desar'!D24</f>
        <v>0</v>
      </c>
    </row>
    <row r="9" spans="1:3" x14ac:dyDescent="0.2">
      <c r="A9" s="503" t="s">
        <v>209</v>
      </c>
      <c r="B9" s="503"/>
      <c r="C9" s="503"/>
    </row>
    <row r="10" spans="1:3" x14ac:dyDescent="0.2">
      <c r="A10" s="6" t="s">
        <v>30</v>
      </c>
      <c r="B10" s="52"/>
      <c r="C10" s="90">
        <f>+'Vigilante 5x2 12h Desar'!D12</f>
        <v>0</v>
      </c>
    </row>
    <row r="11" spans="1:3" x14ac:dyDescent="0.2">
      <c r="A11" s="6" t="s">
        <v>31</v>
      </c>
      <c r="B11" s="52"/>
      <c r="C11" s="90">
        <f>+'Vigilante 5x2 12h Desar'!D13</f>
        <v>0</v>
      </c>
    </row>
    <row r="12" spans="1:3" x14ac:dyDescent="0.2">
      <c r="A12" s="6" t="s">
        <v>32</v>
      </c>
      <c r="B12" s="52"/>
      <c r="C12" s="90">
        <f>+'Vigilante 5x2 12h Desar'!D14</f>
        <v>0</v>
      </c>
    </row>
    <row r="13" spans="1:3" x14ac:dyDescent="0.2">
      <c r="A13" s="6" t="s">
        <v>33</v>
      </c>
      <c r="B13" s="52"/>
      <c r="C13" s="90">
        <f>+'Vigilante 5x2 12h Desar'!D15</f>
        <v>0</v>
      </c>
    </row>
    <row r="14" spans="1:3" x14ac:dyDescent="0.2">
      <c r="A14" s="6" t="s">
        <v>34</v>
      </c>
      <c r="B14" s="52"/>
      <c r="C14" s="90">
        <f>+'Vigilante 5x2 12h Desar'!D16</f>
        <v>0</v>
      </c>
    </row>
    <row r="15" spans="1:3" x14ac:dyDescent="0.2">
      <c r="A15" t="s">
        <v>65</v>
      </c>
      <c r="B15" s="52"/>
      <c r="C15" s="90">
        <f>+'Vigilante 5x2 12h Desar'!D20</f>
        <v>0</v>
      </c>
    </row>
    <row r="16" spans="1:3" x14ac:dyDescent="0.2">
      <c r="A16" s="6" t="s">
        <v>344</v>
      </c>
      <c r="B16" s="52"/>
      <c r="C16" s="90">
        <f>+'Vigilante 5x2 12h Desar'!D22</f>
        <v>0</v>
      </c>
    </row>
    <row r="17" spans="1:3" x14ac:dyDescent="0.2">
      <c r="A17" s="35" t="s">
        <v>193</v>
      </c>
      <c r="B17" s="101"/>
      <c r="C17" s="102">
        <f>SUM(C10:C16)</f>
        <v>0</v>
      </c>
    </row>
    <row r="18" spans="1:3" x14ac:dyDescent="0.2">
      <c r="A18" s="6" t="s">
        <v>102</v>
      </c>
      <c r="B18" s="57">
        <f>+B3</f>
        <v>220</v>
      </c>
      <c r="C18" s="54"/>
    </row>
    <row r="19" spans="1:3" x14ac:dyDescent="0.2">
      <c r="A19" s="35" t="s">
        <v>103</v>
      </c>
      <c r="B19" s="101"/>
      <c r="C19" s="36">
        <f>+C17/B18</f>
        <v>0</v>
      </c>
    </row>
    <row r="20" spans="1:3" x14ac:dyDescent="0.2">
      <c r="A20" s="6" t="s">
        <v>197</v>
      </c>
      <c r="B20" s="6">
        <v>12</v>
      </c>
      <c r="C20" s="54"/>
    </row>
    <row r="21" spans="1:3" x14ac:dyDescent="0.2">
      <c r="A21" s="6" t="s">
        <v>198</v>
      </c>
      <c r="B21" s="6">
        <v>10</v>
      </c>
      <c r="C21" s="54"/>
    </row>
    <row r="22" spans="1:3" x14ac:dyDescent="0.2">
      <c r="A22" s="6" t="s">
        <v>199</v>
      </c>
      <c r="B22" s="6">
        <f>+B21*B20</f>
        <v>120</v>
      </c>
      <c r="C22" s="8">
        <f>+B22*C19</f>
        <v>0</v>
      </c>
    </row>
    <row r="23" spans="1:3" x14ac:dyDescent="0.2">
      <c r="A23" s="6" t="s">
        <v>200</v>
      </c>
      <c r="B23" s="17">
        <v>1</v>
      </c>
      <c r="C23" s="8">
        <f>+B23*C22</f>
        <v>0</v>
      </c>
    </row>
    <row r="24" spans="1:3" x14ac:dyDescent="0.2">
      <c r="A24" s="6" t="s">
        <v>201</v>
      </c>
      <c r="B24" s="17">
        <v>1</v>
      </c>
      <c r="C24" s="8">
        <f>+B24*C23</f>
        <v>0</v>
      </c>
    </row>
    <row r="25" spans="1:3" x14ac:dyDescent="0.2">
      <c r="A25" s="6" t="s">
        <v>202</v>
      </c>
      <c r="B25" s="6">
        <v>12</v>
      </c>
      <c r="C25" s="91"/>
    </row>
    <row r="26" spans="1:3" x14ac:dyDescent="0.2">
      <c r="A26" s="504" t="s">
        <v>203</v>
      </c>
      <c r="B26" s="505"/>
      <c r="C26" s="45">
        <f>+C24/B25</f>
        <v>0</v>
      </c>
    </row>
    <row r="27" spans="1:3" x14ac:dyDescent="0.2">
      <c r="C27" s="15"/>
    </row>
    <row r="28" spans="1:3" x14ac:dyDescent="0.2">
      <c r="A28" s="503" t="s">
        <v>210</v>
      </c>
      <c r="B28" s="503"/>
      <c r="C28" s="503"/>
    </row>
    <row r="29" spans="1:3" x14ac:dyDescent="0.2">
      <c r="A29" s="6" t="s">
        <v>103</v>
      </c>
      <c r="B29" s="52"/>
      <c r="C29" s="90">
        <f>+C19</f>
        <v>0</v>
      </c>
    </row>
    <row r="30" spans="1:3" x14ac:dyDescent="0.2">
      <c r="A30" s="6" t="s">
        <v>199</v>
      </c>
      <c r="B30" s="6">
        <v>192</v>
      </c>
      <c r="C30" s="54"/>
    </row>
    <row r="31" spans="1:3" x14ac:dyDescent="0.2">
      <c r="A31" s="6" t="s">
        <v>204</v>
      </c>
      <c r="B31" s="6">
        <f>+$B$4</f>
        <v>365.25</v>
      </c>
      <c r="C31" s="54"/>
    </row>
    <row r="32" spans="1:3" x14ac:dyDescent="0.2">
      <c r="A32" s="6" t="s">
        <v>197</v>
      </c>
      <c r="B32" s="6">
        <v>12</v>
      </c>
      <c r="C32" s="54"/>
    </row>
    <row r="33" spans="1:3" x14ac:dyDescent="0.2">
      <c r="A33" s="6" t="s">
        <v>200</v>
      </c>
      <c r="B33" s="17">
        <v>1</v>
      </c>
      <c r="C33" s="54"/>
    </row>
    <row r="34" spans="1:3" x14ac:dyDescent="0.2">
      <c r="A34" s="6" t="s">
        <v>205</v>
      </c>
      <c r="B34" s="92">
        <f>ROUND(((B31/7)*6)-B32,2)</f>
        <v>301.07</v>
      </c>
      <c r="C34" s="54"/>
    </row>
    <row r="35" spans="1:3" x14ac:dyDescent="0.2">
      <c r="A35" s="6" t="s">
        <v>206</v>
      </c>
      <c r="B35" s="34">
        <v>12</v>
      </c>
      <c r="C35" s="54"/>
    </row>
    <row r="36" spans="1:3" ht="25.5" x14ac:dyDescent="0.2">
      <c r="A36" s="30" t="s">
        <v>207</v>
      </c>
      <c r="B36" s="6">
        <f>+((B30/B35)*B33)/B34</f>
        <v>5.3143787159132427E-2</v>
      </c>
      <c r="C36" s="54"/>
    </row>
    <row r="37" spans="1:3" x14ac:dyDescent="0.2">
      <c r="A37" s="24" t="s">
        <v>208</v>
      </c>
      <c r="B37" s="24"/>
      <c r="C37" s="45">
        <f>+C29*(B31-B34)*B36</f>
        <v>0</v>
      </c>
    </row>
    <row r="38" spans="1:3" x14ac:dyDescent="0.2">
      <c r="C38" s="15"/>
    </row>
    <row r="39" spans="1:3" x14ac:dyDescent="0.2">
      <c r="A39" s="503" t="s">
        <v>343</v>
      </c>
      <c r="B39" s="503"/>
      <c r="C39" s="503"/>
    </row>
    <row r="40" spans="1:3" x14ac:dyDescent="0.2">
      <c r="A40" s="6" t="s">
        <v>30</v>
      </c>
      <c r="B40" s="52"/>
      <c r="C40" s="90">
        <f>+B6</f>
        <v>0</v>
      </c>
    </row>
    <row r="41" spans="1:3" x14ac:dyDescent="0.2">
      <c r="A41" s="6" t="s">
        <v>102</v>
      </c>
      <c r="B41" s="57">
        <f>+B3</f>
        <v>220</v>
      </c>
      <c r="C41" s="54"/>
    </row>
    <row r="42" spans="1:3" x14ac:dyDescent="0.2">
      <c r="A42" s="35" t="s">
        <v>103</v>
      </c>
      <c r="B42" s="101"/>
      <c r="C42" s="36">
        <f>+C40/B41</f>
        <v>0</v>
      </c>
    </row>
    <row r="43" spans="1:3" s="60" customFormat="1" x14ac:dyDescent="0.2">
      <c r="A43" s="6" t="s">
        <v>351</v>
      </c>
      <c r="B43" s="17">
        <v>0.5</v>
      </c>
      <c r="C43" s="181"/>
    </row>
    <row r="44" spans="1:3" s="60" customFormat="1" x14ac:dyDescent="0.2">
      <c r="A44" s="35" t="s">
        <v>352</v>
      </c>
      <c r="B44" s="104"/>
      <c r="C44" s="181">
        <f>+C42*(1+B43)</f>
        <v>0</v>
      </c>
    </row>
    <row r="45" spans="1:3" x14ac:dyDescent="0.2">
      <c r="A45" s="34" t="s">
        <v>346</v>
      </c>
      <c r="B45" s="6">
        <v>10</v>
      </c>
      <c r="C45" s="54"/>
    </row>
    <row r="46" spans="1:3" x14ac:dyDescent="0.2">
      <c r="A46" s="6" t="s">
        <v>230</v>
      </c>
      <c r="B46" s="180">
        <f>+B5</f>
        <v>21.741071428571431</v>
      </c>
      <c r="C46" s="54"/>
    </row>
    <row r="47" spans="1:3" x14ac:dyDescent="0.2">
      <c r="A47" s="34" t="s">
        <v>347</v>
      </c>
      <c r="B47" s="6">
        <v>192</v>
      </c>
      <c r="C47" s="54"/>
    </row>
    <row r="48" spans="1:3" x14ac:dyDescent="0.2">
      <c r="A48" s="34" t="s">
        <v>348</v>
      </c>
      <c r="B48" s="6">
        <f>ROUND(+B46*B45,2)</f>
        <v>217.41</v>
      </c>
      <c r="C48" s="54"/>
    </row>
    <row r="49" spans="1:3" x14ac:dyDescent="0.2">
      <c r="A49" s="34" t="s">
        <v>349</v>
      </c>
      <c r="B49" s="6">
        <f>+B48-B47</f>
        <v>25.409999999999997</v>
      </c>
      <c r="C49" s="54"/>
    </row>
    <row r="50" spans="1:3" x14ac:dyDescent="0.2">
      <c r="A50" s="24" t="s">
        <v>350</v>
      </c>
      <c r="B50" s="24"/>
      <c r="C50" s="45">
        <f>+B49*C44</f>
        <v>0</v>
      </c>
    </row>
    <row r="51" spans="1:3" x14ac:dyDescent="0.2">
      <c r="C51" s="15"/>
    </row>
    <row r="52" spans="1:3" x14ac:dyDescent="0.2">
      <c r="A52" s="459" t="s">
        <v>107</v>
      </c>
      <c r="B52" s="459"/>
      <c r="C52" s="459"/>
    </row>
    <row r="53" spans="1:3" x14ac:dyDescent="0.2">
      <c r="A53" s="55" t="s">
        <v>30</v>
      </c>
      <c r="B53" s="86"/>
      <c r="C53" s="56">
        <f>+'Vigilante 5x2 12h Desar'!D12</f>
        <v>0</v>
      </c>
    </row>
    <row r="54" spans="1:3" x14ac:dyDescent="0.2">
      <c r="A54" s="55" t="s">
        <v>31</v>
      </c>
      <c r="B54" s="58"/>
      <c r="C54" s="56">
        <f>+'Vigilante 5x2 12h Desar'!D13</f>
        <v>0</v>
      </c>
    </row>
    <row r="55" spans="1:3" x14ac:dyDescent="0.2">
      <c r="A55" s="55" t="s">
        <v>32</v>
      </c>
      <c r="B55" s="58"/>
      <c r="C55" s="56">
        <f>+'Vigilante 5x2 12h Desar'!D14</f>
        <v>0</v>
      </c>
    </row>
    <row r="56" spans="1:3" x14ac:dyDescent="0.2">
      <c r="A56" s="55" t="s">
        <v>33</v>
      </c>
      <c r="B56" s="58"/>
      <c r="C56" s="56">
        <f>+'Vigilante 5x2 12h Desar'!D15</f>
        <v>0</v>
      </c>
    </row>
    <row r="57" spans="1:3" x14ac:dyDescent="0.2">
      <c r="A57" s="55" t="s">
        <v>34</v>
      </c>
      <c r="B57" s="58"/>
      <c r="C57" s="56">
        <f>+'Vigilante 5x2 12h Desar'!D16</f>
        <v>0</v>
      </c>
    </row>
    <row r="58" spans="1:3" x14ac:dyDescent="0.2">
      <c r="A58" s="55" t="s">
        <v>35</v>
      </c>
      <c r="B58" s="58"/>
      <c r="C58" s="56">
        <f>+'Vigilante 5x2 12h Desar'!D18</f>
        <v>0</v>
      </c>
    </row>
    <row r="59" spans="1:3" x14ac:dyDescent="0.2">
      <c r="A59" s="55" t="s">
        <v>65</v>
      </c>
      <c r="B59" s="58"/>
      <c r="C59" s="56">
        <f>+'Vigilante 5x2 12h Desar'!D20</f>
        <v>0</v>
      </c>
    </row>
    <row r="60" spans="1:3" x14ac:dyDescent="0.2">
      <c r="A60" s="35" t="s">
        <v>101</v>
      </c>
      <c r="B60" s="99"/>
      <c r="C60" s="100">
        <f>SUM(C53:C59)</f>
        <v>0</v>
      </c>
    </row>
    <row r="61" spans="1:3" x14ac:dyDescent="0.2">
      <c r="A61" s="6" t="s">
        <v>102</v>
      </c>
      <c r="B61" s="57">
        <f>+B3</f>
        <v>220</v>
      </c>
      <c r="C61" s="58"/>
    </row>
    <row r="62" spans="1:3" x14ac:dyDescent="0.2">
      <c r="A62" s="6" t="s">
        <v>103</v>
      </c>
      <c r="B62" s="58"/>
      <c r="C62" s="59">
        <f>ROUND(+C60/B61,2)</f>
        <v>0</v>
      </c>
    </row>
    <row r="63" spans="1:3" x14ac:dyDescent="0.2">
      <c r="A63" s="6" t="s">
        <v>229</v>
      </c>
      <c r="B63" s="51">
        <f>(365.25/12)/(7/5)</f>
        <v>21.741071428571431</v>
      </c>
      <c r="C63" s="58"/>
    </row>
    <row r="64" spans="1:3" x14ac:dyDescent="0.2">
      <c r="A64" s="6" t="s">
        <v>105</v>
      </c>
      <c r="B64" s="17">
        <v>0.5</v>
      </c>
      <c r="C64" s="6"/>
    </row>
    <row r="65" spans="1:3" x14ac:dyDescent="0.2">
      <c r="A65" s="504" t="s">
        <v>106</v>
      </c>
      <c r="B65" s="505"/>
      <c r="C65" s="45">
        <f>ROUND((B63*C62)*(1+B64),2)</f>
        <v>0</v>
      </c>
    </row>
    <row r="67" spans="1:3" x14ac:dyDescent="0.2">
      <c r="A67" s="459" t="s">
        <v>212</v>
      </c>
      <c r="B67" s="459"/>
      <c r="C67" s="459"/>
    </row>
    <row r="68" spans="1:3" x14ac:dyDescent="0.2">
      <c r="A68" s="6" t="s">
        <v>204</v>
      </c>
      <c r="B68" s="6">
        <v>365.25</v>
      </c>
      <c r="C68" s="52"/>
    </row>
    <row r="69" spans="1:3" x14ac:dyDescent="0.2">
      <c r="A69" s="6" t="s">
        <v>206</v>
      </c>
      <c r="B69" s="34">
        <v>12</v>
      </c>
      <c r="C69" s="52"/>
    </row>
    <row r="70" spans="1:3" x14ac:dyDescent="0.2">
      <c r="A70" s="6" t="s">
        <v>213</v>
      </c>
      <c r="B70" s="17">
        <v>1</v>
      </c>
      <c r="C70" s="52"/>
    </row>
    <row r="71" spans="1:3" x14ac:dyDescent="0.2">
      <c r="A71" s="103" t="s">
        <v>448</v>
      </c>
      <c r="B71" s="34">
        <v>7</v>
      </c>
      <c r="C71" s="52"/>
    </row>
    <row r="72" spans="1:3" x14ac:dyDescent="0.2">
      <c r="A72" s="34" t="s">
        <v>214</v>
      </c>
      <c r="B72" s="52"/>
      <c r="C72" s="18">
        <f>+'Vigilante 5x2 12h Desar'!$D$12</f>
        <v>0</v>
      </c>
    </row>
    <row r="73" spans="1:3" x14ac:dyDescent="0.2">
      <c r="A73" s="34" t="s">
        <v>31</v>
      </c>
      <c r="B73" s="52"/>
      <c r="C73" s="18">
        <f>+'Vigilante 5x2 12h Desar'!$D$13</f>
        <v>0</v>
      </c>
    </row>
    <row r="74" spans="1:3" x14ac:dyDescent="0.2">
      <c r="A74" s="34" t="s">
        <v>32</v>
      </c>
      <c r="B74" s="52"/>
      <c r="C74" s="18">
        <f>+'Vigilante 5x2 12h Desar'!$D$14</f>
        <v>0</v>
      </c>
    </row>
    <row r="75" spans="1:3" x14ac:dyDescent="0.2">
      <c r="A75" s="104" t="s">
        <v>193</v>
      </c>
      <c r="B75" s="52"/>
      <c r="C75" s="105">
        <f>SUM(C72:C74)</f>
        <v>0</v>
      </c>
    </row>
    <row r="76" spans="1:3" x14ac:dyDescent="0.2">
      <c r="A76" s="6" t="s">
        <v>102</v>
      </c>
      <c r="B76" s="106">
        <f>+B3</f>
        <v>220</v>
      </c>
      <c r="C76" s="52"/>
    </row>
    <row r="77" spans="1:3" x14ac:dyDescent="0.2">
      <c r="A77" s="34" t="s">
        <v>215</v>
      </c>
      <c r="B77" s="17">
        <v>0.2</v>
      </c>
      <c r="C77" s="52"/>
    </row>
    <row r="78" spans="1:3" x14ac:dyDescent="0.2">
      <c r="A78" s="34" t="s">
        <v>216</v>
      </c>
      <c r="B78" s="52"/>
      <c r="C78" s="8">
        <f>ROUND((C75/B76)*B77,2)</f>
        <v>0</v>
      </c>
    </row>
    <row r="79" spans="1:3" x14ac:dyDescent="0.2">
      <c r="A79" s="34" t="s">
        <v>217</v>
      </c>
      <c r="B79" s="6">
        <f>ROUND(+B68/B69*B70*B71,0)</f>
        <v>213</v>
      </c>
      <c r="C79" s="53"/>
    </row>
    <row r="80" spans="1:3" x14ac:dyDescent="0.2">
      <c r="A80" s="506" t="s">
        <v>218</v>
      </c>
      <c r="B80" s="506"/>
      <c r="C80" s="32">
        <f>ROUND(+B79*C78,2)</f>
        <v>0</v>
      </c>
    </row>
    <row r="82" spans="1:4" x14ac:dyDescent="0.2">
      <c r="A82" s="503" t="s">
        <v>232</v>
      </c>
      <c r="B82" s="503"/>
      <c r="C82" s="503"/>
    </row>
    <row r="83" spans="1:4" x14ac:dyDescent="0.2">
      <c r="A83" s="6" t="s">
        <v>103</v>
      </c>
      <c r="B83" s="52"/>
      <c r="C83" s="90">
        <f>+C80</f>
        <v>0</v>
      </c>
    </row>
    <row r="84" spans="1:4" x14ac:dyDescent="0.2">
      <c r="A84" s="6" t="s">
        <v>199</v>
      </c>
      <c r="B84" s="6">
        <v>192</v>
      </c>
      <c r="C84" s="54"/>
    </row>
    <row r="85" spans="1:4" x14ac:dyDescent="0.2">
      <c r="A85" s="6" t="s">
        <v>204</v>
      </c>
      <c r="B85" s="6">
        <f>+$B$4</f>
        <v>365.25</v>
      </c>
      <c r="C85" s="54"/>
    </row>
    <row r="86" spans="1:4" x14ac:dyDescent="0.2">
      <c r="A86" s="6" t="s">
        <v>197</v>
      </c>
      <c r="B86" s="6">
        <v>12</v>
      </c>
      <c r="C86" s="54"/>
    </row>
    <row r="87" spans="1:4" x14ac:dyDescent="0.2">
      <c r="A87" s="6" t="s">
        <v>200</v>
      </c>
      <c r="B87" s="17">
        <v>1</v>
      </c>
      <c r="C87" s="54"/>
    </row>
    <row r="88" spans="1:4" x14ac:dyDescent="0.2">
      <c r="A88" s="6" t="s">
        <v>205</v>
      </c>
      <c r="B88" s="92">
        <f>ROUND(((B85/7)*6)-B86,2)</f>
        <v>301.07</v>
      </c>
      <c r="C88" s="54"/>
    </row>
    <row r="89" spans="1:4" x14ac:dyDescent="0.2">
      <c r="A89" s="6" t="s">
        <v>206</v>
      </c>
      <c r="B89" s="34">
        <v>12</v>
      </c>
      <c r="C89" s="54"/>
    </row>
    <row r="90" spans="1:4" ht="25.5" x14ac:dyDescent="0.2">
      <c r="A90" s="30" t="s">
        <v>207</v>
      </c>
      <c r="B90" s="6">
        <f>+((B84/B89)*B87)/B88</f>
        <v>5.3143787159132427E-2</v>
      </c>
      <c r="C90" s="54"/>
    </row>
    <row r="91" spans="1:4" x14ac:dyDescent="0.2">
      <c r="A91" s="24" t="s">
        <v>208</v>
      </c>
      <c r="B91" s="24"/>
      <c r="C91" s="45">
        <f>+C83/B84*(B85-B88)*B90</f>
        <v>0</v>
      </c>
    </row>
    <row r="93" spans="1:4" x14ac:dyDescent="0.2">
      <c r="A93" s="459" t="s">
        <v>219</v>
      </c>
      <c r="B93" s="459"/>
      <c r="C93" s="459"/>
    </row>
    <row r="94" spans="1:4" x14ac:dyDescent="0.2">
      <c r="A94" s="6" t="s">
        <v>204</v>
      </c>
      <c r="B94" s="6">
        <f>+$B$4</f>
        <v>365.25</v>
      </c>
      <c r="C94" s="52"/>
    </row>
    <row r="95" spans="1:4" x14ac:dyDescent="0.2">
      <c r="A95" s="6" t="s">
        <v>206</v>
      </c>
      <c r="B95" s="34">
        <v>12</v>
      </c>
      <c r="C95" s="52"/>
    </row>
    <row r="96" spans="1:4" x14ac:dyDescent="0.2">
      <c r="A96" s="6" t="s">
        <v>213</v>
      </c>
      <c r="B96" s="17">
        <v>1</v>
      </c>
      <c r="C96" s="52"/>
      <c r="D96" s="109"/>
    </row>
    <row r="97" spans="1:4" x14ac:dyDescent="0.2">
      <c r="A97" s="103" t="s">
        <v>448</v>
      </c>
      <c r="B97" s="34">
        <v>7</v>
      </c>
      <c r="C97" s="52"/>
      <c r="D97" s="109"/>
    </row>
    <row r="98" spans="1:4" x14ac:dyDescent="0.2">
      <c r="A98" s="34" t="s">
        <v>220</v>
      </c>
      <c r="B98" s="51">
        <f>(365.25/12)/(7/5)</f>
        <v>21.741071428571431</v>
      </c>
      <c r="C98" s="6"/>
      <c r="D98" s="109"/>
    </row>
    <row r="99" spans="1:4" x14ac:dyDescent="0.2">
      <c r="A99" s="34" t="s">
        <v>221</v>
      </c>
      <c r="B99" s="6">
        <f>ROUND(+B98*B97,2)</f>
        <v>152.19</v>
      </c>
      <c r="C99" s="6"/>
    </row>
    <row r="100" spans="1:4" x14ac:dyDescent="0.2">
      <c r="A100" s="34" t="s">
        <v>214</v>
      </c>
      <c r="B100" s="52"/>
      <c r="C100" s="18">
        <f>+'Vigilante 5x2 12h Desar'!$D$12</f>
        <v>0</v>
      </c>
    </row>
    <row r="101" spans="1:4" x14ac:dyDescent="0.2">
      <c r="A101" s="34" t="s">
        <v>31</v>
      </c>
      <c r="B101" s="52"/>
      <c r="C101" s="18">
        <f>+'Vigilante 5x2 12h Desar'!$D$13</f>
        <v>0</v>
      </c>
    </row>
    <row r="102" spans="1:4" x14ac:dyDescent="0.2">
      <c r="A102" s="34" t="s">
        <v>32</v>
      </c>
      <c r="B102" s="52"/>
      <c r="C102" s="18">
        <f>+'Vigilante 5x2 12h Desar'!$D$14</f>
        <v>0</v>
      </c>
    </row>
    <row r="103" spans="1:4" x14ac:dyDescent="0.2">
      <c r="A103" s="104" t="s">
        <v>193</v>
      </c>
      <c r="B103" s="52"/>
      <c r="C103" s="105">
        <f>SUM(C100:C102)</f>
        <v>0</v>
      </c>
      <c r="D103" s="88"/>
    </row>
    <row r="104" spans="1:4" x14ac:dyDescent="0.2">
      <c r="A104" s="6" t="s">
        <v>102</v>
      </c>
      <c r="B104" s="106">
        <f>+B3</f>
        <v>220</v>
      </c>
      <c r="C104" s="52"/>
    </row>
    <row r="105" spans="1:4" x14ac:dyDescent="0.2">
      <c r="A105" s="34" t="s">
        <v>215</v>
      </c>
      <c r="B105" s="17">
        <v>0.2</v>
      </c>
      <c r="C105" s="52"/>
    </row>
    <row r="106" spans="1:4" x14ac:dyDescent="0.2">
      <c r="A106" s="34" t="s">
        <v>216</v>
      </c>
      <c r="B106" s="52"/>
      <c r="C106" s="8">
        <f>ROUND((C103/B104)*B105,2)</f>
        <v>0</v>
      </c>
    </row>
    <row r="107" spans="1:4" x14ac:dyDescent="0.2">
      <c r="A107" s="34" t="s">
        <v>223</v>
      </c>
      <c r="B107" s="6">
        <v>60</v>
      </c>
      <c r="C107" s="52"/>
    </row>
    <row r="108" spans="1:4" x14ac:dyDescent="0.2">
      <c r="A108" s="34" t="s">
        <v>222</v>
      </c>
      <c r="B108" s="6">
        <v>52.5</v>
      </c>
      <c r="C108" s="52"/>
    </row>
    <row r="109" spans="1:4" x14ac:dyDescent="0.2">
      <c r="A109" s="34" t="s">
        <v>224</v>
      </c>
      <c r="B109" s="6">
        <f>+B107/B108</f>
        <v>1.1428571428571428</v>
      </c>
      <c r="C109" s="52"/>
    </row>
    <row r="110" spans="1:4" x14ac:dyDescent="0.2">
      <c r="A110" s="34" t="s">
        <v>225</v>
      </c>
      <c r="B110" s="6">
        <f>ROUND(+B109*B99,2)</f>
        <v>173.93</v>
      </c>
      <c r="C110" s="52"/>
    </row>
    <row r="111" spans="1:4" x14ac:dyDescent="0.2">
      <c r="A111" s="34" t="s">
        <v>226</v>
      </c>
      <c r="B111" s="6">
        <f>ROUND(B110-B99,2)</f>
        <v>21.74</v>
      </c>
      <c r="C111" s="53"/>
    </row>
    <row r="112" spans="1:4" x14ac:dyDescent="0.2">
      <c r="A112" s="494" t="s">
        <v>227</v>
      </c>
      <c r="B112" s="494"/>
      <c r="C112" s="71">
        <f>+B111*C106</f>
        <v>0</v>
      </c>
    </row>
    <row r="114" spans="1:3" x14ac:dyDescent="0.2">
      <c r="A114" s="459" t="s">
        <v>233</v>
      </c>
      <c r="B114" s="459"/>
      <c r="C114" s="459"/>
    </row>
    <row r="115" spans="1:3" x14ac:dyDescent="0.2">
      <c r="A115" s="6" t="s">
        <v>204</v>
      </c>
      <c r="B115" s="6">
        <f>+$B$4</f>
        <v>365.25</v>
      </c>
      <c r="C115" s="52"/>
    </row>
    <row r="116" spans="1:3" x14ac:dyDescent="0.2">
      <c r="A116" s="6" t="s">
        <v>206</v>
      </c>
      <c r="B116" s="34">
        <v>12</v>
      </c>
      <c r="C116" s="52"/>
    </row>
    <row r="117" spans="1:3" x14ac:dyDescent="0.2">
      <c r="A117" s="6" t="s">
        <v>213</v>
      </c>
      <c r="B117" s="17">
        <v>1</v>
      </c>
      <c r="C117" s="52"/>
    </row>
    <row r="118" spans="1:3" x14ac:dyDescent="0.2">
      <c r="A118" s="34" t="s">
        <v>234</v>
      </c>
      <c r="B118" s="180">
        <f>+B5</f>
        <v>21.741071428571431</v>
      </c>
      <c r="C118" s="52"/>
    </row>
    <row r="119" spans="1:3" x14ac:dyDescent="0.2">
      <c r="A119" s="205" t="s">
        <v>235</v>
      </c>
      <c r="B119" s="206"/>
      <c r="C119" s="52"/>
    </row>
    <row r="120" spans="1:3" x14ac:dyDescent="0.2">
      <c r="A120" s="6" t="s">
        <v>236</v>
      </c>
      <c r="B120" s="17">
        <v>0.06</v>
      </c>
      <c r="C120" s="52"/>
    </row>
    <row r="121" spans="1:3" x14ac:dyDescent="0.2">
      <c r="A121" s="504" t="s">
        <v>237</v>
      </c>
      <c r="B121" s="505"/>
      <c r="C121" s="45">
        <f>ROUND((B118*(B119*2)-($B$6*B120)),2)</f>
        <v>0</v>
      </c>
    </row>
    <row r="123" spans="1:3" x14ac:dyDescent="0.2">
      <c r="A123" s="459" t="s">
        <v>238</v>
      </c>
      <c r="B123" s="459"/>
      <c r="C123" s="459"/>
    </row>
    <row r="124" spans="1:3" x14ac:dyDescent="0.2">
      <c r="A124" s="6" t="s">
        <v>204</v>
      </c>
      <c r="B124" s="6">
        <f>+$B$4</f>
        <v>365.25</v>
      </c>
      <c r="C124" s="52"/>
    </row>
    <row r="125" spans="1:3" x14ac:dyDescent="0.2">
      <c r="A125" s="6" t="s">
        <v>206</v>
      </c>
      <c r="B125" s="34">
        <v>12</v>
      </c>
      <c r="C125" s="52"/>
    </row>
    <row r="126" spans="1:3" x14ac:dyDescent="0.2">
      <c r="A126" s="6" t="s">
        <v>213</v>
      </c>
      <c r="B126" s="17">
        <v>1</v>
      </c>
      <c r="C126" s="52"/>
    </row>
    <row r="127" spans="1:3" x14ac:dyDescent="0.2">
      <c r="A127" s="34" t="s">
        <v>234</v>
      </c>
      <c r="B127" s="180">
        <f>+B5</f>
        <v>21.741071428571431</v>
      </c>
      <c r="C127" s="52"/>
    </row>
    <row r="128" spans="1:3" x14ac:dyDescent="0.2">
      <c r="A128" s="205" t="s">
        <v>239</v>
      </c>
      <c r="B128" s="206"/>
      <c r="C128" s="52"/>
    </row>
    <row r="129" spans="1:3" x14ac:dyDescent="0.2">
      <c r="A129" s="6" t="s">
        <v>367</v>
      </c>
      <c r="B129" s="17">
        <v>0.2</v>
      </c>
      <c r="C129" s="52"/>
    </row>
    <row r="130" spans="1:3" x14ac:dyDescent="0.2">
      <c r="A130" s="504" t="s">
        <v>239</v>
      </c>
      <c r="B130" s="505"/>
      <c r="C130" s="45">
        <f>ROUND((B127*(B128)-((B127*B128)*B129)),2)</f>
        <v>0</v>
      </c>
    </row>
    <row r="132" spans="1:3" x14ac:dyDescent="0.2">
      <c r="A132" s="459" t="s">
        <v>240</v>
      </c>
      <c r="B132" s="459"/>
      <c r="C132" s="459"/>
    </row>
    <row r="133" spans="1:3" x14ac:dyDescent="0.2">
      <c r="A133" s="6" t="s">
        <v>242</v>
      </c>
      <c r="B133" s="18">
        <f>+B7</f>
        <v>0</v>
      </c>
      <c r="C133" s="52"/>
    </row>
    <row r="134" spans="1:3" x14ac:dyDescent="0.2">
      <c r="A134" s="6" t="s">
        <v>243</v>
      </c>
      <c r="B134" s="6">
        <v>12</v>
      </c>
      <c r="C134" s="52"/>
    </row>
    <row r="135" spans="1:3" x14ac:dyDescent="0.2">
      <c r="A135" s="116" t="s">
        <v>244</v>
      </c>
      <c r="B135" s="114"/>
      <c r="C135" s="52"/>
    </row>
    <row r="136" spans="1:3" x14ac:dyDescent="0.2">
      <c r="A136" s="494" t="s">
        <v>245</v>
      </c>
      <c r="B136" s="494"/>
      <c r="C136" s="45">
        <f>ROUND(+(B133/B134)*B135,2)</f>
        <v>0</v>
      </c>
    </row>
    <row r="138" spans="1:3" x14ac:dyDescent="0.2">
      <c r="A138" s="507" t="s">
        <v>246</v>
      </c>
      <c r="B138" s="508"/>
      <c r="C138" s="509"/>
    </row>
    <row r="139" spans="1:3" s="60" customFormat="1" x14ac:dyDescent="0.2">
      <c r="A139" s="117" t="s">
        <v>251</v>
      </c>
      <c r="B139" s="114">
        <f>+B135</f>
        <v>0</v>
      </c>
      <c r="C139" s="52"/>
    </row>
    <row r="140" spans="1:3" x14ac:dyDescent="0.2">
      <c r="A140" s="6" t="s">
        <v>247</v>
      </c>
      <c r="B140" s="18">
        <f>+'Vigilante 5x2 12h Desar'!$D$24</f>
        <v>0</v>
      </c>
      <c r="C140" s="52"/>
    </row>
    <row r="141" spans="1:3" x14ac:dyDescent="0.2">
      <c r="A141" s="6" t="s">
        <v>46</v>
      </c>
      <c r="B141" s="18">
        <f>+'Vigilante 5x2 12h Desar'!$D$30</f>
        <v>0</v>
      </c>
      <c r="C141" s="52"/>
    </row>
    <row r="142" spans="1:3" x14ac:dyDescent="0.2">
      <c r="A142" s="111" t="s">
        <v>45</v>
      </c>
      <c r="B142" s="18">
        <f>+'Vigilante 5x2 12h Desar'!$D$32</f>
        <v>0</v>
      </c>
      <c r="C142" s="52"/>
    </row>
    <row r="143" spans="1:3" x14ac:dyDescent="0.2">
      <c r="A143" s="111" t="s">
        <v>44</v>
      </c>
      <c r="B143" s="18">
        <f>+'Vigilante 5x2 12h Desar'!$D$33</f>
        <v>0</v>
      </c>
      <c r="C143" s="52"/>
    </row>
    <row r="144" spans="1:3" x14ac:dyDescent="0.2">
      <c r="A144" s="104" t="s">
        <v>248</v>
      </c>
      <c r="B144" s="105">
        <f>SUM(B140:B143)</f>
        <v>0</v>
      </c>
      <c r="C144" s="52"/>
    </row>
    <row r="145" spans="1:3" x14ac:dyDescent="0.2">
      <c r="A145" s="25" t="s">
        <v>249</v>
      </c>
      <c r="B145" s="17">
        <v>0.4</v>
      </c>
      <c r="C145" s="52"/>
    </row>
    <row r="146" spans="1:3" x14ac:dyDescent="0.2">
      <c r="A146" s="25" t="s">
        <v>250</v>
      </c>
      <c r="B146" s="17">
        <f>+'Vigilante 5x2 12h Desar'!$C$45</f>
        <v>0.08</v>
      </c>
      <c r="C146" s="52"/>
    </row>
    <row r="147" spans="1:3" x14ac:dyDescent="0.2">
      <c r="A147" s="510" t="s">
        <v>252</v>
      </c>
      <c r="B147" s="510"/>
      <c r="C147" s="73">
        <f>ROUND(+B144*B145*B146*B139,2)</f>
        <v>0</v>
      </c>
    </row>
    <row r="148" spans="1:3" x14ac:dyDescent="0.2">
      <c r="A148" s="25" t="s">
        <v>253</v>
      </c>
      <c r="B148" s="17">
        <v>0.1</v>
      </c>
      <c r="C148" s="52"/>
    </row>
    <row r="149" spans="1:3" x14ac:dyDescent="0.2">
      <c r="A149" s="510" t="s">
        <v>254</v>
      </c>
      <c r="B149" s="510"/>
      <c r="C149" s="112">
        <f>ROUND(B148*B146*B144*B139,2)</f>
        <v>0</v>
      </c>
    </row>
    <row r="150" spans="1:3" x14ac:dyDescent="0.2">
      <c r="A150" s="504" t="s">
        <v>255</v>
      </c>
      <c r="B150" s="505"/>
      <c r="C150" s="71">
        <f>+C149+C147</f>
        <v>0</v>
      </c>
    </row>
    <row r="152" spans="1:3" x14ac:dyDescent="0.2">
      <c r="A152" s="459" t="s">
        <v>256</v>
      </c>
      <c r="B152" s="459"/>
      <c r="C152" s="459"/>
    </row>
    <row r="153" spans="1:3" x14ac:dyDescent="0.2">
      <c r="A153" s="6" t="s">
        <v>242</v>
      </c>
      <c r="B153" s="18">
        <f>+B7</f>
        <v>0</v>
      </c>
      <c r="C153" s="52"/>
    </row>
    <row r="154" spans="1:3" x14ac:dyDescent="0.2">
      <c r="A154" s="6" t="s">
        <v>257</v>
      </c>
      <c r="B154" s="113">
        <v>30</v>
      </c>
      <c r="C154" s="52"/>
    </row>
    <row r="155" spans="1:3" x14ac:dyDescent="0.2">
      <c r="A155" s="6" t="s">
        <v>243</v>
      </c>
      <c r="B155" s="6">
        <v>12</v>
      </c>
      <c r="C155" s="52"/>
    </row>
    <row r="156" spans="1:3" x14ac:dyDescent="0.2">
      <c r="A156" s="6" t="s">
        <v>258</v>
      </c>
      <c r="B156" s="6">
        <v>5</v>
      </c>
      <c r="C156" s="52"/>
    </row>
    <row r="157" spans="1:3" x14ac:dyDescent="0.2">
      <c r="A157" s="116" t="s">
        <v>294</v>
      </c>
      <c r="B157" s="114"/>
      <c r="C157" s="52"/>
    </row>
    <row r="158" spans="1:3" x14ac:dyDescent="0.2">
      <c r="A158" s="494" t="s">
        <v>369</v>
      </c>
      <c r="B158" s="494"/>
      <c r="C158" s="45">
        <f>+ROUND(((B153/B154/B155)*B156)*B157,2)</f>
        <v>0</v>
      </c>
    </row>
    <row r="160" spans="1:3" x14ac:dyDescent="0.2">
      <c r="A160" s="507" t="s">
        <v>259</v>
      </c>
      <c r="B160" s="508"/>
      <c r="C160" s="509"/>
    </row>
    <row r="161" spans="1:3" x14ac:dyDescent="0.2">
      <c r="A161" s="115" t="s">
        <v>260</v>
      </c>
      <c r="B161" s="114">
        <f>+B157</f>
        <v>0</v>
      </c>
      <c r="C161" s="52"/>
    </row>
    <row r="162" spans="1:3" x14ac:dyDescent="0.2">
      <c r="A162" s="6" t="s">
        <v>247</v>
      </c>
      <c r="B162" s="18">
        <f>+'Vigilante 5x2 12h Desar'!$D$24</f>
        <v>0</v>
      </c>
      <c r="C162" s="52"/>
    </row>
    <row r="163" spans="1:3" x14ac:dyDescent="0.2">
      <c r="A163" s="6" t="s">
        <v>46</v>
      </c>
      <c r="B163" s="18">
        <f>+'Vigilante 5x2 12h Desar'!$D$30</f>
        <v>0</v>
      </c>
      <c r="C163" s="52"/>
    </row>
    <row r="164" spans="1:3" x14ac:dyDescent="0.2">
      <c r="A164" s="111" t="s">
        <v>45</v>
      </c>
      <c r="B164" s="18">
        <f>+'Vigilante 5x2 12h Desar'!$D$32</f>
        <v>0</v>
      </c>
      <c r="C164" s="52"/>
    </row>
    <row r="165" spans="1:3" x14ac:dyDescent="0.2">
      <c r="A165" s="111" t="s">
        <v>44</v>
      </c>
      <c r="B165" s="18">
        <f>+'Vigilante 5x2 12h Desar'!$D$33</f>
        <v>0</v>
      </c>
      <c r="C165" s="52"/>
    </row>
    <row r="166" spans="1:3" x14ac:dyDescent="0.2">
      <c r="A166" s="104" t="s">
        <v>248</v>
      </c>
      <c r="B166" s="105">
        <f>SUM(B162:B165)</f>
        <v>0</v>
      </c>
      <c r="C166" s="52"/>
    </row>
    <row r="167" spans="1:3" x14ac:dyDescent="0.2">
      <c r="A167" s="25" t="s">
        <v>249</v>
      </c>
      <c r="B167" s="17">
        <v>0.4</v>
      </c>
      <c r="C167" s="52"/>
    </row>
    <row r="168" spans="1:3" x14ac:dyDescent="0.2">
      <c r="A168" s="25" t="s">
        <v>250</v>
      </c>
      <c r="B168" s="17">
        <f>+'Vigilante 5x2 12h Desar'!$C$45</f>
        <v>0.08</v>
      </c>
      <c r="C168" s="52"/>
    </row>
    <row r="169" spans="1:3" x14ac:dyDescent="0.2">
      <c r="A169" s="510" t="s">
        <v>252</v>
      </c>
      <c r="B169" s="510"/>
      <c r="C169" s="73">
        <f>ROUND(+B166*B167*B168*B161,2)</f>
        <v>0</v>
      </c>
    </row>
    <row r="170" spans="1:3" x14ac:dyDescent="0.2">
      <c r="A170" s="25" t="s">
        <v>253</v>
      </c>
      <c r="B170" s="17">
        <v>0.1</v>
      </c>
      <c r="C170" s="52"/>
    </row>
    <row r="171" spans="1:3" x14ac:dyDescent="0.2">
      <c r="A171" s="510" t="s">
        <v>254</v>
      </c>
      <c r="B171" s="510"/>
      <c r="C171" s="112">
        <f>ROUND(B170*B168*B166*B161,2)</f>
        <v>0</v>
      </c>
    </row>
    <row r="172" spans="1:3" x14ac:dyDescent="0.2">
      <c r="A172" s="504" t="s">
        <v>385</v>
      </c>
      <c r="B172" s="505"/>
      <c r="C172" s="71">
        <f>+C171+C169</f>
        <v>0</v>
      </c>
    </row>
    <row r="174" spans="1:3" x14ac:dyDescent="0.2">
      <c r="A174" s="507" t="s">
        <v>262</v>
      </c>
      <c r="B174" s="508"/>
      <c r="C174" s="509"/>
    </row>
    <row r="175" spans="1:3" x14ac:dyDescent="0.2">
      <c r="A175" s="511" t="s">
        <v>358</v>
      </c>
      <c r="B175" s="511"/>
      <c r="C175" s="511"/>
    </row>
    <row r="176" spans="1:3" x14ac:dyDescent="0.2">
      <c r="A176" s="511"/>
      <c r="B176" s="511"/>
      <c r="C176" s="511"/>
    </row>
    <row r="177" spans="1:3" x14ac:dyDescent="0.2">
      <c r="A177" s="511"/>
      <c r="B177" s="511"/>
      <c r="C177" s="511"/>
    </row>
    <row r="178" spans="1:3" x14ac:dyDescent="0.2">
      <c r="A178" s="511"/>
      <c r="B178" s="511"/>
      <c r="C178" s="511"/>
    </row>
    <row r="179" spans="1:3" x14ac:dyDescent="0.2">
      <c r="A179" s="119"/>
      <c r="B179" s="119"/>
      <c r="C179" s="119"/>
    </row>
    <row r="180" spans="1:3" x14ac:dyDescent="0.2">
      <c r="A180" s="512" t="s">
        <v>261</v>
      </c>
      <c r="B180" s="512"/>
      <c r="C180" s="512"/>
    </row>
    <row r="181" spans="1:3" x14ac:dyDescent="0.2">
      <c r="A181" s="6" t="s">
        <v>263</v>
      </c>
      <c r="B181" s="18">
        <f>+$B$7</f>
        <v>0</v>
      </c>
      <c r="C181" s="52"/>
    </row>
    <row r="182" spans="1:3" x14ac:dyDescent="0.2">
      <c r="A182" s="6" t="s">
        <v>206</v>
      </c>
      <c r="B182" s="6">
        <v>30</v>
      </c>
      <c r="C182" s="52"/>
    </row>
    <row r="183" spans="1:3" x14ac:dyDescent="0.2">
      <c r="A183" s="6" t="s">
        <v>264</v>
      </c>
      <c r="B183" s="6">
        <v>12</v>
      </c>
      <c r="C183" s="52"/>
    </row>
    <row r="184" spans="1:3" x14ac:dyDescent="0.2">
      <c r="A184" s="116" t="s">
        <v>265</v>
      </c>
      <c r="B184" s="116"/>
      <c r="C184" s="52"/>
    </row>
    <row r="185" spans="1:3" x14ac:dyDescent="0.2">
      <c r="A185" s="494" t="s">
        <v>266</v>
      </c>
      <c r="B185" s="494"/>
      <c r="C185" s="24">
        <f>+ROUND((B181/B182/B183)*B184,2)</f>
        <v>0</v>
      </c>
    </row>
    <row r="187" spans="1:3" x14ac:dyDescent="0.2">
      <c r="A187" s="512" t="s">
        <v>269</v>
      </c>
      <c r="B187" s="512"/>
      <c r="C187" s="512"/>
    </row>
    <row r="188" spans="1:3" x14ac:dyDescent="0.2">
      <c r="A188" s="6" t="s">
        <v>263</v>
      </c>
      <c r="B188" s="18">
        <f>+$B$7</f>
        <v>0</v>
      </c>
      <c r="C188" s="52"/>
    </row>
    <row r="189" spans="1:3" x14ac:dyDescent="0.2">
      <c r="A189" s="6" t="s">
        <v>206</v>
      </c>
      <c r="B189" s="6">
        <v>30</v>
      </c>
      <c r="C189" s="52"/>
    </row>
    <row r="190" spans="1:3" x14ac:dyDescent="0.2">
      <c r="A190" s="6" t="s">
        <v>264</v>
      </c>
      <c r="B190" s="6">
        <v>12</v>
      </c>
      <c r="C190" s="52"/>
    </row>
    <row r="191" spans="1:3" x14ac:dyDescent="0.2">
      <c r="A191" s="34" t="s">
        <v>267</v>
      </c>
      <c r="B191" s="6">
        <v>5</v>
      </c>
      <c r="C191" s="52"/>
    </row>
    <row r="192" spans="1:3" x14ac:dyDescent="0.2">
      <c r="A192" s="116" t="s">
        <v>268</v>
      </c>
      <c r="B192" s="114"/>
      <c r="C192" s="52"/>
    </row>
    <row r="193" spans="1:3" x14ac:dyDescent="0.2">
      <c r="A193" s="116" t="s">
        <v>270</v>
      </c>
      <c r="B193" s="114"/>
      <c r="C193" s="52"/>
    </row>
    <row r="194" spans="1:3" x14ac:dyDescent="0.2">
      <c r="A194" s="494" t="s">
        <v>271</v>
      </c>
      <c r="B194" s="494"/>
      <c r="C194" s="45">
        <f>ROUND(+B188/B189/B190*B191*B192*B193,2)</f>
        <v>0</v>
      </c>
    </row>
    <row r="196" spans="1:3" x14ac:dyDescent="0.2">
      <c r="A196" s="512" t="s">
        <v>272</v>
      </c>
      <c r="B196" s="512"/>
      <c r="C196" s="512"/>
    </row>
    <row r="197" spans="1:3" x14ac:dyDescent="0.2">
      <c r="A197" s="6" t="s">
        <v>263</v>
      </c>
      <c r="B197" s="18">
        <f>+$B$7</f>
        <v>0</v>
      </c>
      <c r="C197" s="52"/>
    </row>
    <row r="198" spans="1:3" x14ac:dyDescent="0.2">
      <c r="A198" s="6" t="s">
        <v>206</v>
      </c>
      <c r="B198" s="6">
        <v>30</v>
      </c>
      <c r="C198" s="52"/>
    </row>
    <row r="199" spans="1:3" x14ac:dyDescent="0.2">
      <c r="A199" s="6" t="s">
        <v>264</v>
      </c>
      <c r="B199" s="6">
        <v>12</v>
      </c>
      <c r="C199" s="52"/>
    </row>
    <row r="200" spans="1:3" x14ac:dyDescent="0.2">
      <c r="A200" s="34" t="s">
        <v>273</v>
      </c>
      <c r="B200" s="6">
        <v>15</v>
      </c>
      <c r="C200" s="52"/>
    </row>
    <row r="201" spans="1:3" x14ac:dyDescent="0.2">
      <c r="A201" s="116" t="s">
        <v>274</v>
      </c>
      <c r="B201" s="114"/>
      <c r="C201" s="52"/>
    </row>
    <row r="202" spans="1:3" x14ac:dyDescent="0.2">
      <c r="A202" s="494" t="s">
        <v>370</v>
      </c>
      <c r="B202" s="494"/>
      <c r="C202" s="45">
        <f>ROUND(+B197/B198/B199*B200*B201,2)</f>
        <v>0</v>
      </c>
    </row>
    <row r="204" spans="1:3" x14ac:dyDescent="0.2">
      <c r="A204" s="512" t="s">
        <v>275</v>
      </c>
      <c r="B204" s="512"/>
      <c r="C204" s="512"/>
    </row>
    <row r="205" spans="1:3" x14ac:dyDescent="0.2">
      <c r="A205" s="6" t="s">
        <v>263</v>
      </c>
      <c r="B205" s="18">
        <f>+$B$7</f>
        <v>0</v>
      </c>
      <c r="C205" s="52"/>
    </row>
    <row r="206" spans="1:3" x14ac:dyDescent="0.2">
      <c r="A206" s="6" t="s">
        <v>206</v>
      </c>
      <c r="B206" s="6">
        <v>30</v>
      </c>
      <c r="C206" s="52"/>
    </row>
    <row r="207" spans="1:3" x14ac:dyDescent="0.2">
      <c r="A207" s="6" t="s">
        <v>264</v>
      </c>
      <c r="B207" s="6">
        <v>12</v>
      </c>
      <c r="C207" s="52"/>
    </row>
    <row r="208" spans="1:3" x14ac:dyDescent="0.2">
      <c r="A208" s="34" t="s">
        <v>273</v>
      </c>
      <c r="B208" s="6">
        <v>5</v>
      </c>
      <c r="C208" s="52"/>
    </row>
    <row r="209" spans="1:3" x14ac:dyDescent="0.2">
      <c r="A209" s="116" t="s">
        <v>276</v>
      </c>
      <c r="B209" s="114"/>
      <c r="C209" s="52"/>
    </row>
    <row r="210" spans="1:3" x14ac:dyDescent="0.2">
      <c r="A210" s="494" t="s">
        <v>371</v>
      </c>
      <c r="B210" s="494"/>
      <c r="C210" s="45">
        <f>ROUND(+B205/B206/B207*B208*B209,2)</f>
        <v>0</v>
      </c>
    </row>
    <row r="212" spans="1:3" x14ac:dyDescent="0.2">
      <c r="A212" s="459" t="s">
        <v>108</v>
      </c>
      <c r="B212" s="459"/>
      <c r="C212" s="459"/>
    </row>
    <row r="213" spans="1:3" x14ac:dyDescent="0.2">
      <c r="A213" s="83" t="s">
        <v>23</v>
      </c>
      <c r="B213" s="87"/>
      <c r="C213" s="18">
        <f>+'Vigilante 5x2 12h Desar'!D24-'Vigilante 5x2 12h Desar'!D21</f>
        <v>0</v>
      </c>
    </row>
    <row r="214" spans="1:3" x14ac:dyDescent="0.2">
      <c r="A214" s="83" t="s">
        <v>68</v>
      </c>
      <c r="B214" s="87"/>
      <c r="C214" s="18">
        <f>+'Vigilante 5x2 12h Desar'!D69</f>
        <v>0</v>
      </c>
    </row>
    <row r="215" spans="1:3" x14ac:dyDescent="0.2">
      <c r="A215" s="83" t="s">
        <v>153</v>
      </c>
      <c r="B215" s="87"/>
      <c r="C215" s="18">
        <f>+'Vigilante 5x2 12h Desar'!D117</f>
        <v>0</v>
      </c>
    </row>
    <row r="216" spans="1:3" x14ac:dyDescent="0.2">
      <c r="A216" s="83" t="s">
        <v>86</v>
      </c>
      <c r="B216" s="87"/>
      <c r="C216" s="18">
        <f>+'Vigilante 5x2 12h Desar'!D108</f>
        <v>0</v>
      </c>
    </row>
    <row r="217" spans="1:3" x14ac:dyDescent="0.2">
      <c r="A217" s="83" t="s">
        <v>92</v>
      </c>
      <c r="B217" s="87"/>
      <c r="C217" s="18">
        <f>+'Vigilante 5x2 12h Desar'!D109</f>
        <v>0</v>
      </c>
    </row>
    <row r="218" spans="1:3" x14ac:dyDescent="0.2">
      <c r="A218" s="83" t="s">
        <v>70</v>
      </c>
      <c r="B218" s="87"/>
      <c r="C218" s="18">
        <f>+'Vigilante 5x2 12h Desar'!D80</f>
        <v>0</v>
      </c>
    </row>
    <row r="219" spans="1:3" x14ac:dyDescent="0.2">
      <c r="A219" s="83" t="s">
        <v>193</v>
      </c>
      <c r="B219" s="87"/>
      <c r="C219" s="18">
        <f>SUM(C213:C218)</f>
        <v>0</v>
      </c>
    </row>
    <row r="220" spans="1:3" x14ac:dyDescent="0.2">
      <c r="A220" s="83" t="s">
        <v>102</v>
      </c>
      <c r="B220" s="84">
        <v>220</v>
      </c>
      <c r="C220" s="85"/>
    </row>
    <row r="221" spans="1:3" x14ac:dyDescent="0.2">
      <c r="A221" s="83" t="s">
        <v>103</v>
      </c>
      <c r="B221" s="87"/>
      <c r="C221" s="18">
        <f>ROUND(C219/B220,2)</f>
        <v>0</v>
      </c>
    </row>
    <row r="222" spans="1:3" x14ac:dyDescent="0.2">
      <c r="A222" s="6" t="s">
        <v>104</v>
      </c>
      <c r="B222" s="51">
        <f>+B5</f>
        <v>21.741071428571431</v>
      </c>
      <c r="C222" s="58"/>
    </row>
    <row r="223" spans="1:3" x14ac:dyDescent="0.2">
      <c r="A223" s="504" t="s">
        <v>106</v>
      </c>
      <c r="B223" s="505"/>
      <c r="C223" s="71">
        <f>ROUND(+B222*C221,2)</f>
        <v>0</v>
      </c>
    </row>
    <row r="225" spans="1:3" x14ac:dyDescent="0.2">
      <c r="A225" s="512" t="s">
        <v>277</v>
      </c>
      <c r="B225" s="512"/>
      <c r="C225" s="512"/>
    </row>
    <row r="226" spans="1:3" x14ac:dyDescent="0.2">
      <c r="A226" s="513" t="s">
        <v>282</v>
      </c>
      <c r="B226" s="514"/>
      <c r="C226" s="515"/>
    </row>
    <row r="227" spans="1:3" x14ac:dyDescent="0.2">
      <c r="A227" s="6" t="s">
        <v>263</v>
      </c>
      <c r="B227" s="18">
        <f>+$B$7</f>
        <v>0</v>
      </c>
      <c r="C227" s="52"/>
    </row>
    <row r="228" spans="1:3" x14ac:dyDescent="0.2">
      <c r="A228" s="6" t="s">
        <v>281</v>
      </c>
      <c r="B228" s="18">
        <f>+B227*(1/3)</f>
        <v>0</v>
      </c>
      <c r="C228" s="52"/>
    </row>
    <row r="229" spans="1:3" x14ac:dyDescent="0.2">
      <c r="A229" s="104" t="s">
        <v>248</v>
      </c>
      <c r="B229" s="105">
        <f>SUM(B227:B228)</f>
        <v>0</v>
      </c>
      <c r="C229" s="52"/>
    </row>
    <row r="230" spans="1:3" x14ac:dyDescent="0.2">
      <c r="A230" s="6" t="s">
        <v>278</v>
      </c>
      <c r="B230" s="6">
        <v>4</v>
      </c>
      <c r="C230" s="52"/>
    </row>
    <row r="231" spans="1:3" x14ac:dyDescent="0.2">
      <c r="A231" s="6" t="s">
        <v>264</v>
      </c>
      <c r="B231" s="6">
        <v>12</v>
      </c>
      <c r="C231" s="52"/>
    </row>
    <row r="232" spans="1:3" x14ac:dyDescent="0.2">
      <c r="A232" s="116" t="s">
        <v>279</v>
      </c>
      <c r="B232" s="114"/>
      <c r="C232" s="52"/>
    </row>
    <row r="233" spans="1:3" x14ac:dyDescent="0.2">
      <c r="A233" s="116" t="s">
        <v>280</v>
      </c>
      <c r="B233" s="114"/>
      <c r="C233" s="52"/>
    </row>
    <row r="234" spans="1:3" x14ac:dyDescent="0.2">
      <c r="A234" s="494" t="s">
        <v>283</v>
      </c>
      <c r="B234" s="494"/>
      <c r="C234" s="45">
        <f>ROUND((((+B229*(B230/B231)/B231)*B232)*B233),2)</f>
        <v>0</v>
      </c>
    </row>
    <row r="235" spans="1:3" x14ac:dyDescent="0.2">
      <c r="A235" s="494" t="s">
        <v>284</v>
      </c>
      <c r="B235" s="494"/>
      <c r="C235" s="494"/>
    </row>
    <row r="236" spans="1:3" x14ac:dyDescent="0.2">
      <c r="A236" s="6" t="s">
        <v>263</v>
      </c>
      <c r="B236" s="18">
        <f>+'Vigilante 5x2 12h Desar'!D24</f>
        <v>0</v>
      </c>
      <c r="C236" s="52"/>
    </row>
    <row r="237" spans="1:3" x14ac:dyDescent="0.2">
      <c r="A237" s="6" t="s">
        <v>46</v>
      </c>
      <c r="B237" s="18">
        <f>+'Vigilante 5x2 12h Desar'!D30</f>
        <v>0</v>
      </c>
      <c r="C237" s="52"/>
    </row>
    <row r="238" spans="1:3" x14ac:dyDescent="0.2">
      <c r="A238" s="104" t="s">
        <v>248</v>
      </c>
      <c r="B238" s="105">
        <f>SUM(B236:B237)</f>
        <v>0</v>
      </c>
      <c r="C238" s="52"/>
    </row>
    <row r="239" spans="1:3" x14ac:dyDescent="0.2">
      <c r="A239" s="6" t="s">
        <v>278</v>
      </c>
      <c r="B239" s="6">
        <v>4</v>
      </c>
      <c r="C239" s="52"/>
    </row>
    <row r="240" spans="1:3" x14ac:dyDescent="0.2">
      <c r="A240" s="6" t="s">
        <v>264</v>
      </c>
      <c r="B240" s="6">
        <v>12</v>
      </c>
      <c r="C240" s="52"/>
    </row>
    <row r="241" spans="1:3" x14ac:dyDescent="0.2">
      <c r="A241" s="116" t="s">
        <v>279</v>
      </c>
      <c r="B241" s="114"/>
      <c r="C241" s="52"/>
    </row>
    <row r="242" spans="1:3" x14ac:dyDescent="0.2">
      <c r="A242" s="116" t="s">
        <v>280</v>
      </c>
      <c r="B242" s="114"/>
      <c r="C242" s="52"/>
    </row>
    <row r="243" spans="1:3" x14ac:dyDescent="0.2">
      <c r="A243" s="34" t="s">
        <v>285</v>
      </c>
      <c r="B243" s="17">
        <f>+'Vigilante 5x2 12h Desar'!C46</f>
        <v>0.36800000000000005</v>
      </c>
      <c r="C243" s="52"/>
    </row>
    <row r="244" spans="1:3" x14ac:dyDescent="0.2">
      <c r="A244" s="494" t="s">
        <v>286</v>
      </c>
      <c r="B244" s="494"/>
      <c r="C244" s="71">
        <f>ROUND((((B238*(B239/B240)*B241)*B242)*B243),2)</f>
        <v>0</v>
      </c>
    </row>
  </sheetData>
  <mergeCells count="45">
    <mergeCell ref="A234:B234"/>
    <mergeCell ref="A235:C235"/>
    <mergeCell ref="A244:B244"/>
    <mergeCell ref="A204:C204"/>
    <mergeCell ref="A210:B210"/>
    <mergeCell ref="A212:C212"/>
    <mergeCell ref="A223:B223"/>
    <mergeCell ref="A225:C225"/>
    <mergeCell ref="A226:C226"/>
    <mergeCell ref="A202:B202"/>
    <mergeCell ref="A160:C160"/>
    <mergeCell ref="A169:B169"/>
    <mergeCell ref="A171:B171"/>
    <mergeCell ref="A172:B172"/>
    <mergeCell ref="A174:C174"/>
    <mergeCell ref="A175:C178"/>
    <mergeCell ref="A180:C180"/>
    <mergeCell ref="A185:B185"/>
    <mergeCell ref="A187:C187"/>
    <mergeCell ref="A194:B194"/>
    <mergeCell ref="A196:C196"/>
    <mergeCell ref="A158:B158"/>
    <mergeCell ref="A114:C114"/>
    <mergeCell ref="A121:B121"/>
    <mergeCell ref="A123:C123"/>
    <mergeCell ref="A130:B130"/>
    <mergeCell ref="A132:C132"/>
    <mergeCell ref="A136:B136"/>
    <mergeCell ref="A138:C138"/>
    <mergeCell ref="A147:B147"/>
    <mergeCell ref="A149:B149"/>
    <mergeCell ref="A150:B150"/>
    <mergeCell ref="A152:C152"/>
    <mergeCell ref="A112:B112"/>
    <mergeCell ref="A1:C1"/>
    <mergeCell ref="A9:C9"/>
    <mergeCell ref="A26:B26"/>
    <mergeCell ref="A28:C28"/>
    <mergeCell ref="A39:C39"/>
    <mergeCell ref="A52:C52"/>
    <mergeCell ref="A65:B65"/>
    <mergeCell ref="A67:C67"/>
    <mergeCell ref="A80:B80"/>
    <mergeCell ref="A82:C82"/>
    <mergeCell ref="A93:C93"/>
  </mergeCells>
  <pageMargins left="0.93" right="0.12" top="0.78740157480314965" bottom="0.78740157480314965" header="0.31496062992125984" footer="0.31496062992125984"/>
  <pageSetup paperSize="9" scale="90" orientation="portrait" r:id="rId1"/>
  <headerFooter>
    <oddFooter>&amp;A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tabColor rgb="FF77E57C"/>
  </sheetPr>
  <dimension ref="A1:F185"/>
  <sheetViews>
    <sheetView topLeftCell="A52" workbookViewId="0">
      <selection activeCell="D99" sqref="D99"/>
    </sheetView>
  </sheetViews>
  <sheetFormatPr defaultRowHeight="12.75" x14ac:dyDescent="0.2"/>
  <cols>
    <col min="1" max="1" width="5.625" customWidth="1"/>
    <col min="2" max="2" width="50.5" customWidth="1"/>
    <col min="3" max="3" width="9.375" bestFit="1" customWidth="1"/>
    <col min="4" max="4" width="15.625" customWidth="1"/>
    <col min="5" max="5" width="11.75" bestFit="1" customWidth="1"/>
  </cols>
  <sheetData>
    <row r="1" spans="1:6" x14ac:dyDescent="0.2">
      <c r="A1" s="477" t="s">
        <v>211</v>
      </c>
      <c r="B1" s="478"/>
      <c r="C1" s="478"/>
      <c r="D1" s="479"/>
      <c r="E1" s="3"/>
      <c r="F1" s="3"/>
    </row>
    <row r="4" spans="1:6" x14ac:dyDescent="0.2">
      <c r="A4" s="474" t="s">
        <v>16</v>
      </c>
      <c r="B4" s="474"/>
      <c r="C4" s="474"/>
      <c r="D4" s="474"/>
    </row>
    <row r="5" spans="1:6" s="1" customFormat="1" ht="28.5" customHeight="1" x14ac:dyDescent="0.2">
      <c r="A5" s="203">
        <v>1</v>
      </c>
      <c r="B5" s="204" t="s">
        <v>17</v>
      </c>
      <c r="C5" s="558" t="s">
        <v>365</v>
      </c>
      <c r="D5" s="559"/>
    </row>
    <row r="6" spans="1:6" s="1" customFormat="1" x14ac:dyDescent="0.2">
      <c r="A6" s="203">
        <v>2</v>
      </c>
      <c r="B6" s="204" t="s">
        <v>18</v>
      </c>
      <c r="C6" s="560" t="s">
        <v>295</v>
      </c>
      <c r="D6" s="561"/>
    </row>
    <row r="7" spans="1:6" s="1" customFormat="1" x14ac:dyDescent="0.2">
      <c r="A7" s="203">
        <v>3</v>
      </c>
      <c r="B7" s="204" t="s">
        <v>19</v>
      </c>
      <c r="C7" s="484"/>
      <c r="D7" s="484"/>
    </row>
    <row r="8" spans="1:6" s="1" customFormat="1" ht="43.5" customHeight="1" x14ac:dyDescent="0.2">
      <c r="A8" s="203">
        <v>4</v>
      </c>
      <c r="B8" s="204" t="s">
        <v>21</v>
      </c>
      <c r="C8" s="562" t="s">
        <v>296</v>
      </c>
      <c r="D8" s="563"/>
    </row>
    <row r="9" spans="1:6" s="1" customFormat="1" x14ac:dyDescent="0.2">
      <c r="A9" s="203">
        <v>5</v>
      </c>
      <c r="B9" s="204" t="s">
        <v>20</v>
      </c>
      <c r="C9" s="564">
        <v>43160</v>
      </c>
      <c r="D9" s="561"/>
    </row>
    <row r="10" spans="1:6" x14ac:dyDescent="0.2">
      <c r="D10" s="201"/>
    </row>
    <row r="11" spans="1:6" x14ac:dyDescent="0.2">
      <c r="A11" s="455" t="s">
        <v>22</v>
      </c>
      <c r="B11" s="455"/>
      <c r="C11" s="455"/>
      <c r="D11" s="455"/>
    </row>
    <row r="12" spans="1:6" x14ac:dyDescent="0.2">
      <c r="A12" s="4">
        <v>1</v>
      </c>
      <c r="B12" s="207" t="s">
        <v>23</v>
      </c>
      <c r="C12" s="190" t="s">
        <v>50</v>
      </c>
      <c r="D12" s="5" t="s">
        <v>24</v>
      </c>
    </row>
    <row r="13" spans="1:6" x14ac:dyDescent="0.2">
      <c r="A13" s="189" t="s">
        <v>3</v>
      </c>
      <c r="B13" s="388" t="s">
        <v>30</v>
      </c>
      <c r="C13" s="388"/>
      <c r="D13" s="7">
        <f>+C7</f>
        <v>0</v>
      </c>
    </row>
    <row r="14" spans="1:6" x14ac:dyDescent="0.2">
      <c r="A14" s="189" t="s">
        <v>4</v>
      </c>
      <c r="B14" s="89" t="s">
        <v>31</v>
      </c>
      <c r="C14" s="95">
        <v>0.3</v>
      </c>
      <c r="D14" s="7">
        <f>+(D13+D23)*C14</f>
        <v>0</v>
      </c>
      <c r="E14" s="88"/>
    </row>
    <row r="15" spans="1:6" x14ac:dyDescent="0.2">
      <c r="A15" s="189" t="s">
        <v>5</v>
      </c>
      <c r="B15" s="89" t="s">
        <v>32</v>
      </c>
      <c r="C15" s="95"/>
      <c r="D15" s="7"/>
    </row>
    <row r="16" spans="1:6" x14ac:dyDescent="0.2">
      <c r="A16" s="189" t="s">
        <v>6</v>
      </c>
      <c r="B16" s="388" t="s">
        <v>33</v>
      </c>
      <c r="C16" s="388"/>
      <c r="D16" s="7"/>
    </row>
    <row r="17" spans="1:6" x14ac:dyDescent="0.2">
      <c r="A17" s="189" t="s">
        <v>25</v>
      </c>
      <c r="B17" s="388" t="s">
        <v>34</v>
      </c>
      <c r="C17" s="388"/>
      <c r="D17" s="7"/>
    </row>
    <row r="18" spans="1:6" x14ac:dyDescent="0.2">
      <c r="A18" s="189" t="s">
        <v>26</v>
      </c>
      <c r="B18" s="468" t="s">
        <v>231</v>
      </c>
      <c r="C18" s="469"/>
      <c r="D18" s="7"/>
    </row>
    <row r="19" spans="1:6" x14ac:dyDescent="0.2">
      <c r="A19" s="189" t="s">
        <v>27</v>
      </c>
      <c r="B19" s="388" t="s">
        <v>35</v>
      </c>
      <c r="C19" s="388"/>
      <c r="D19" s="7"/>
    </row>
    <row r="20" spans="1:6" x14ac:dyDescent="0.2">
      <c r="A20" s="189" t="s">
        <v>28</v>
      </c>
      <c r="B20" s="468" t="s">
        <v>195</v>
      </c>
      <c r="C20" s="469"/>
      <c r="D20" s="93"/>
    </row>
    <row r="21" spans="1:6" x14ac:dyDescent="0.2">
      <c r="A21" s="189" t="s">
        <v>64</v>
      </c>
      <c r="B21" s="89" t="s">
        <v>65</v>
      </c>
      <c r="C21" s="95"/>
      <c r="D21" s="7"/>
    </row>
    <row r="22" spans="1:6" x14ac:dyDescent="0.2">
      <c r="A22" s="189" t="s">
        <v>194</v>
      </c>
      <c r="B22" s="388" t="s">
        <v>95</v>
      </c>
      <c r="C22" s="388"/>
      <c r="D22" s="8"/>
      <c r="F22" s="98"/>
    </row>
    <row r="23" spans="1:6" x14ac:dyDescent="0.2">
      <c r="A23" s="189" t="s">
        <v>196</v>
      </c>
      <c r="B23" s="468" t="s">
        <v>344</v>
      </c>
      <c r="C23" s="469"/>
      <c r="D23" s="8"/>
      <c r="F23" s="98"/>
    </row>
    <row r="24" spans="1:6" x14ac:dyDescent="0.2">
      <c r="A24" s="189" t="s">
        <v>342</v>
      </c>
      <c r="B24" s="388" t="s">
        <v>36</v>
      </c>
      <c r="C24" s="388"/>
      <c r="D24" s="8"/>
    </row>
    <row r="25" spans="1:6" x14ac:dyDescent="0.2">
      <c r="A25" s="474" t="s">
        <v>29</v>
      </c>
      <c r="B25" s="474"/>
      <c r="C25" s="474"/>
      <c r="D25" s="9">
        <f>SUM(D13:D24)</f>
        <v>0</v>
      </c>
    </row>
    <row r="27" spans="1:6" x14ac:dyDescent="0.2">
      <c r="A27" s="460" t="s">
        <v>37</v>
      </c>
      <c r="B27" s="461"/>
      <c r="C27" s="461"/>
      <c r="D27" s="461"/>
    </row>
    <row r="29" spans="1:6" x14ac:dyDescent="0.2">
      <c r="A29" s="455" t="s">
        <v>38</v>
      </c>
      <c r="B29" s="455"/>
      <c r="C29" s="455"/>
      <c r="D29" s="455"/>
    </row>
    <row r="30" spans="1:6" x14ac:dyDescent="0.2">
      <c r="A30" s="13" t="s">
        <v>39</v>
      </c>
      <c r="B30" s="14" t="s">
        <v>40</v>
      </c>
      <c r="C30" s="190" t="s">
        <v>50</v>
      </c>
      <c r="D30" s="190" t="s">
        <v>24</v>
      </c>
    </row>
    <row r="31" spans="1:6" x14ac:dyDescent="0.2">
      <c r="A31" s="189" t="s">
        <v>3</v>
      </c>
      <c r="B31" s="6" t="s">
        <v>46</v>
      </c>
      <c r="C31" s="29" t="e">
        <f>ROUND(+D31/$D$25,4)</f>
        <v>#DIV/0!</v>
      </c>
      <c r="D31" s="8">
        <f>ROUND(+D25/12,2)</f>
        <v>0</v>
      </c>
    </row>
    <row r="32" spans="1:6" x14ac:dyDescent="0.2">
      <c r="A32" s="28" t="s">
        <v>4</v>
      </c>
      <c r="B32" s="37" t="s">
        <v>43</v>
      </c>
      <c r="C32" s="38" t="e">
        <f>ROUND(+D32/$D$25,4)</f>
        <v>#DIV/0!</v>
      </c>
      <c r="D32" s="39">
        <f>+D33+D34</f>
        <v>0</v>
      </c>
    </row>
    <row r="33" spans="1:4" x14ac:dyDescent="0.2">
      <c r="A33" s="189" t="s">
        <v>41</v>
      </c>
      <c r="B33" s="35" t="s">
        <v>45</v>
      </c>
      <c r="C33" s="40" t="e">
        <f>ROUND(+D33/$D$25,4)</f>
        <v>#DIV/0!</v>
      </c>
      <c r="D33" s="36">
        <f>ROUND(+D25/12,2)</f>
        <v>0</v>
      </c>
    </row>
    <row r="34" spans="1:4" x14ac:dyDescent="0.2">
      <c r="A34" s="189" t="s">
        <v>42</v>
      </c>
      <c r="B34" s="35" t="s">
        <v>44</v>
      </c>
      <c r="C34" s="40" t="e">
        <f>ROUND(+D34/$D$25,4)</f>
        <v>#DIV/0!</v>
      </c>
      <c r="D34" s="36">
        <f>ROUND(+(D25*1/3)/12,2)</f>
        <v>0</v>
      </c>
    </row>
    <row r="35" spans="1:4" x14ac:dyDescent="0.2">
      <c r="A35" s="474" t="s">
        <v>29</v>
      </c>
      <c r="B35" s="474"/>
      <c r="C35" s="474"/>
      <c r="D35" s="9">
        <f>+D32+D31</f>
        <v>0</v>
      </c>
    </row>
    <row r="37" spans="1:4" x14ac:dyDescent="0.2">
      <c r="A37" s="467" t="s">
        <v>47</v>
      </c>
      <c r="B37" s="467"/>
      <c r="C37" s="467"/>
      <c r="D37" s="467"/>
    </row>
    <row r="38" spans="1:4" x14ac:dyDescent="0.2">
      <c r="A38" s="13" t="s">
        <v>48</v>
      </c>
      <c r="B38" s="14" t="s">
        <v>49</v>
      </c>
      <c r="C38" s="190" t="s">
        <v>50</v>
      </c>
      <c r="D38" s="190" t="s">
        <v>24</v>
      </c>
    </row>
    <row r="39" spans="1:4" x14ac:dyDescent="0.2">
      <c r="A39" s="189" t="s">
        <v>3</v>
      </c>
      <c r="B39" s="6" t="s">
        <v>51</v>
      </c>
      <c r="C39" s="17">
        <v>0.2</v>
      </c>
      <c r="D39" s="18">
        <f>ROUND(C39*($D$25+$D$35),2)</f>
        <v>0</v>
      </c>
    </row>
    <row r="40" spans="1:4" x14ac:dyDescent="0.2">
      <c r="A40" s="189" t="s">
        <v>4</v>
      </c>
      <c r="B40" s="6" t="s">
        <v>52</v>
      </c>
      <c r="C40" s="17">
        <v>2.5000000000000001E-2</v>
      </c>
      <c r="D40" s="18">
        <f t="shared" ref="D40:D45" si="0">ROUND(C40*($D$25+$D$35),2)</f>
        <v>0</v>
      </c>
    </row>
    <row r="41" spans="1:4" x14ac:dyDescent="0.2">
      <c r="A41" s="189" t="s">
        <v>5</v>
      </c>
      <c r="B41" s="6" t="s">
        <v>58</v>
      </c>
      <c r="C41" s="17">
        <f>3%</f>
        <v>0.03</v>
      </c>
      <c r="D41" s="18">
        <f t="shared" si="0"/>
        <v>0</v>
      </c>
    </row>
    <row r="42" spans="1:4" x14ac:dyDescent="0.2">
      <c r="A42" s="189" t="s">
        <v>6</v>
      </c>
      <c r="B42" s="6" t="s">
        <v>53</v>
      </c>
      <c r="C42" s="17">
        <v>1.4999999999999999E-2</v>
      </c>
      <c r="D42" s="18">
        <f t="shared" si="0"/>
        <v>0</v>
      </c>
    </row>
    <row r="43" spans="1:4" x14ac:dyDescent="0.2">
      <c r="A43" s="189" t="s">
        <v>25</v>
      </c>
      <c r="B43" s="6" t="s">
        <v>54</v>
      </c>
      <c r="C43" s="17">
        <v>0.01</v>
      </c>
      <c r="D43" s="18">
        <f t="shared" si="0"/>
        <v>0</v>
      </c>
    </row>
    <row r="44" spans="1:4" x14ac:dyDescent="0.2">
      <c r="A44" s="189" t="s">
        <v>26</v>
      </c>
      <c r="B44" s="6" t="s">
        <v>55</v>
      </c>
      <c r="C44" s="17">
        <v>6.0000000000000001E-3</v>
      </c>
      <c r="D44" s="18">
        <f t="shared" si="0"/>
        <v>0</v>
      </c>
    </row>
    <row r="45" spans="1:4" x14ac:dyDescent="0.2">
      <c r="A45" s="189" t="s">
        <v>27</v>
      </c>
      <c r="B45" s="6" t="s">
        <v>56</v>
      </c>
      <c r="C45" s="17">
        <v>2E-3</v>
      </c>
      <c r="D45" s="18">
        <f t="shared" si="0"/>
        <v>0</v>
      </c>
    </row>
    <row r="46" spans="1:4" x14ac:dyDescent="0.2">
      <c r="A46" s="189" t="s">
        <v>28</v>
      </c>
      <c r="B46" s="6" t="s">
        <v>57</v>
      </c>
      <c r="C46" s="17">
        <v>0.08</v>
      </c>
      <c r="D46" s="18">
        <f>ROUND(C46*($D$25+$D$35),2)</f>
        <v>0</v>
      </c>
    </row>
    <row r="47" spans="1:4" x14ac:dyDescent="0.2">
      <c r="A47" s="191" t="s">
        <v>29</v>
      </c>
      <c r="B47" s="192"/>
      <c r="C47" s="41">
        <f>SUM(C39:C46)</f>
        <v>0.36800000000000005</v>
      </c>
      <c r="D47" s="42">
        <f>SUM(D39:D46)</f>
        <v>0</v>
      </c>
    </row>
    <row r="48" spans="1:4" x14ac:dyDescent="0.2">
      <c r="A48" s="43"/>
      <c r="B48" s="43"/>
      <c r="C48" s="43"/>
      <c r="D48" s="43"/>
    </row>
    <row r="49" spans="1:6" ht="12.75" customHeight="1" x14ac:dyDescent="0.2">
      <c r="A49" s="467" t="s">
        <v>59</v>
      </c>
      <c r="B49" s="467"/>
      <c r="C49" s="467"/>
      <c r="D49" s="467"/>
    </row>
    <row r="50" spans="1:6" x14ac:dyDescent="0.2">
      <c r="A50" s="13" t="s">
        <v>60</v>
      </c>
      <c r="B50" s="14" t="s">
        <v>61</v>
      </c>
      <c r="C50" s="190"/>
      <c r="D50" s="190" t="s">
        <v>24</v>
      </c>
    </row>
    <row r="51" spans="1:6" x14ac:dyDescent="0.2">
      <c r="A51" s="107" t="s">
        <v>3</v>
      </c>
      <c r="B51" s="6" t="s">
        <v>62</v>
      </c>
      <c r="C51" s="54"/>
      <c r="D51" s="18">
        <f>+'Calculo 44h Arm'!C121</f>
        <v>0</v>
      </c>
    </row>
    <row r="52" spans="1:6" s="60" customFormat="1" x14ac:dyDescent="0.2">
      <c r="A52" s="75" t="s">
        <v>177</v>
      </c>
      <c r="B52" s="34" t="s">
        <v>178</v>
      </c>
      <c r="C52" s="29">
        <f>+$C$137+$C$138</f>
        <v>3.6499999999999998E-2</v>
      </c>
      <c r="D52" s="77">
        <f>+(C52*D51)*-1</f>
        <v>0</v>
      </c>
      <c r="F52" s="76"/>
    </row>
    <row r="53" spans="1:6" x14ac:dyDescent="0.2">
      <c r="A53" s="107" t="s">
        <v>4</v>
      </c>
      <c r="B53" s="6" t="s">
        <v>63</v>
      </c>
      <c r="C53" s="54"/>
      <c r="D53" s="18">
        <f>+'Calculo 44h Arm'!C130</f>
        <v>0</v>
      </c>
      <c r="F53" s="61"/>
    </row>
    <row r="54" spans="1:6" s="60" customFormat="1" x14ac:dyDescent="0.2">
      <c r="A54" s="75" t="s">
        <v>41</v>
      </c>
      <c r="B54" s="34" t="s">
        <v>178</v>
      </c>
      <c r="C54" s="29">
        <f>+$C$137+$C$138</f>
        <v>3.6499999999999998E-2</v>
      </c>
      <c r="D54" s="77">
        <f>+(C54*D53)*-1</f>
        <v>0</v>
      </c>
      <c r="F54" s="78"/>
    </row>
    <row r="55" spans="1:6" x14ac:dyDescent="0.2">
      <c r="A55" s="6" t="s">
        <v>5</v>
      </c>
      <c r="B55" s="6" t="s">
        <v>66</v>
      </c>
      <c r="C55" s="54"/>
      <c r="D55" s="18"/>
      <c r="F55" s="61"/>
    </row>
    <row r="56" spans="1:6" x14ac:dyDescent="0.2">
      <c r="A56" s="75" t="s">
        <v>161</v>
      </c>
      <c r="B56" s="34" t="s">
        <v>178</v>
      </c>
      <c r="C56" s="29">
        <f>+$C$137+$C$138</f>
        <v>3.6499999999999998E-2</v>
      </c>
      <c r="D56" s="77">
        <f>+(C56*D55)*-1</f>
        <v>0</v>
      </c>
      <c r="F56" s="61"/>
    </row>
    <row r="57" spans="1:6" x14ac:dyDescent="0.2">
      <c r="A57" s="116" t="s">
        <v>6</v>
      </c>
      <c r="B57" s="116" t="s">
        <v>403</v>
      </c>
      <c r="C57" s="54"/>
      <c r="D57" s="377"/>
      <c r="F57" s="61"/>
    </row>
    <row r="58" spans="1:6" x14ac:dyDescent="0.2">
      <c r="A58" s="75" t="s">
        <v>179</v>
      </c>
      <c r="B58" s="34" t="s">
        <v>178</v>
      </c>
      <c r="C58" s="29">
        <f>+$C$137+$C$138</f>
        <v>3.6499999999999998E-2</v>
      </c>
      <c r="D58" s="77">
        <f>+(C58*D57)*-1</f>
        <v>0</v>
      </c>
      <c r="F58" s="61"/>
    </row>
    <row r="59" spans="1:6" x14ac:dyDescent="0.2">
      <c r="A59" s="116" t="s">
        <v>25</v>
      </c>
      <c r="B59" s="116" t="s">
        <v>436</v>
      </c>
      <c r="C59" s="54"/>
      <c r="D59" s="378"/>
      <c r="F59" s="131"/>
    </row>
    <row r="60" spans="1:6" x14ac:dyDescent="0.2">
      <c r="A60" s="75" t="s">
        <v>180</v>
      </c>
      <c r="B60" s="34" t="s">
        <v>178</v>
      </c>
      <c r="C60" s="29">
        <f>+$C$137+$C$138</f>
        <v>3.6499999999999998E-2</v>
      </c>
      <c r="D60" s="77">
        <f>+(C60*D59)*-1</f>
        <v>0</v>
      </c>
    </row>
    <row r="61" spans="1:6" x14ac:dyDescent="0.2">
      <c r="A61" s="116" t="s">
        <v>26</v>
      </c>
      <c r="B61" s="454" t="s">
        <v>293</v>
      </c>
      <c r="C61" s="454"/>
      <c r="D61" s="377"/>
    </row>
    <row r="62" spans="1:6" x14ac:dyDescent="0.2">
      <c r="A62" s="108" t="s">
        <v>81</v>
      </c>
      <c r="B62" s="34" t="s">
        <v>178</v>
      </c>
      <c r="C62" s="29">
        <f>+$C$137+$C$138</f>
        <v>3.6499999999999998E-2</v>
      </c>
      <c r="D62" s="77">
        <f>+(C62*D61)*-1</f>
        <v>0</v>
      </c>
    </row>
    <row r="63" spans="1:6" x14ac:dyDescent="0.2">
      <c r="A63" s="474" t="s">
        <v>29</v>
      </c>
      <c r="B63" s="474"/>
      <c r="C63" s="16"/>
      <c r="D63" s="110">
        <f>SUM(D51:D62)</f>
        <v>0</v>
      </c>
    </row>
    <row r="65" spans="1:4" x14ac:dyDescent="0.2">
      <c r="A65" s="455" t="s">
        <v>67</v>
      </c>
      <c r="B65" s="455"/>
      <c r="C65" s="455"/>
      <c r="D65" s="455"/>
    </row>
    <row r="66" spans="1:4" x14ac:dyDescent="0.2">
      <c r="A66" s="24">
        <v>2</v>
      </c>
      <c r="B66" s="455" t="s">
        <v>68</v>
      </c>
      <c r="C66" s="455"/>
      <c r="D66" s="194" t="s">
        <v>24</v>
      </c>
    </row>
    <row r="67" spans="1:4" x14ac:dyDescent="0.2">
      <c r="A67" s="25" t="s">
        <v>39</v>
      </c>
      <c r="B67" s="466" t="s">
        <v>40</v>
      </c>
      <c r="C67" s="466"/>
      <c r="D67" s="18">
        <f>+D35</f>
        <v>0</v>
      </c>
    </row>
    <row r="68" spans="1:4" x14ac:dyDescent="0.2">
      <c r="A68" s="25" t="s">
        <v>48</v>
      </c>
      <c r="B68" s="466" t="s">
        <v>49</v>
      </c>
      <c r="C68" s="466"/>
      <c r="D68" s="18">
        <f>+D47</f>
        <v>0</v>
      </c>
    </row>
    <row r="69" spans="1:4" x14ac:dyDescent="0.2">
      <c r="A69" s="25" t="s">
        <v>60</v>
      </c>
      <c r="B69" s="466" t="s">
        <v>61</v>
      </c>
      <c r="C69" s="466"/>
      <c r="D69" s="68">
        <f>+D63</f>
        <v>0</v>
      </c>
    </row>
    <row r="70" spans="1:4" x14ac:dyDescent="0.2">
      <c r="A70" s="455" t="s">
        <v>29</v>
      </c>
      <c r="B70" s="455"/>
      <c r="C70" s="455"/>
      <c r="D70" s="26">
        <f>SUM(D67:D69)</f>
        <v>0</v>
      </c>
    </row>
    <row r="72" spans="1:4" x14ac:dyDescent="0.2">
      <c r="A72" s="455" t="s">
        <v>69</v>
      </c>
      <c r="B72" s="455"/>
      <c r="C72" s="455"/>
      <c r="D72" s="455"/>
    </row>
    <row r="74" spans="1:4" x14ac:dyDescent="0.2">
      <c r="A74" s="13">
        <v>3</v>
      </c>
      <c r="B74" s="14" t="s">
        <v>70</v>
      </c>
      <c r="C74" s="190" t="s">
        <v>50</v>
      </c>
      <c r="D74" s="190" t="s">
        <v>24</v>
      </c>
    </row>
    <row r="75" spans="1:4" x14ac:dyDescent="0.2">
      <c r="A75" s="189" t="s">
        <v>3</v>
      </c>
      <c r="B75" s="34" t="s">
        <v>72</v>
      </c>
      <c r="C75" s="29" t="e">
        <f>+D75/$D$25</f>
        <v>#DIV/0!</v>
      </c>
      <c r="D75" s="118">
        <f>+'Calculo 44h Arm'!C136</f>
        <v>0</v>
      </c>
    </row>
    <row r="76" spans="1:4" x14ac:dyDescent="0.2">
      <c r="A76" s="189" t="s">
        <v>4</v>
      </c>
      <c r="B76" s="6" t="s">
        <v>73</v>
      </c>
      <c r="C76" s="52"/>
      <c r="D76" s="8">
        <f>ROUND(+D75*$C$46,2)</f>
        <v>0</v>
      </c>
    </row>
    <row r="77" spans="1:4" ht="25.5" x14ac:dyDescent="0.2">
      <c r="A77" s="189" t="s">
        <v>5</v>
      </c>
      <c r="B77" s="30" t="s">
        <v>75</v>
      </c>
      <c r="C77" s="17" t="e">
        <f>+D77/$D$25</f>
        <v>#DIV/0!</v>
      </c>
      <c r="D77" s="8">
        <f>+'Calculo 44h Arm'!C147</f>
        <v>0</v>
      </c>
    </row>
    <row r="78" spans="1:4" x14ac:dyDescent="0.2">
      <c r="A78" s="108" t="s">
        <v>6</v>
      </c>
      <c r="B78" s="6" t="s">
        <v>71</v>
      </c>
      <c r="C78" s="17" t="e">
        <f>+D78/$D$25</f>
        <v>#DIV/0!</v>
      </c>
      <c r="D78" s="8">
        <f>+'Calculo 44h Arm'!C158</f>
        <v>0</v>
      </c>
    </row>
    <row r="79" spans="1:4" ht="25.5" x14ac:dyDescent="0.2">
      <c r="A79" s="108" t="s">
        <v>25</v>
      </c>
      <c r="B79" s="30" t="s">
        <v>74</v>
      </c>
      <c r="C79" s="52"/>
      <c r="D79" s="384"/>
    </row>
    <row r="80" spans="1:4" ht="25.5" x14ac:dyDescent="0.2">
      <c r="A80" s="108" t="s">
        <v>26</v>
      </c>
      <c r="B80" s="30" t="s">
        <v>76</v>
      </c>
      <c r="C80" s="17" t="e">
        <f>+D80/$D$25</f>
        <v>#DIV/0!</v>
      </c>
      <c r="D80" s="18">
        <f>+'Calculo 44h Arm'!C149</f>
        <v>0</v>
      </c>
    </row>
    <row r="81" spans="1:4" x14ac:dyDescent="0.2">
      <c r="A81" s="474" t="s">
        <v>29</v>
      </c>
      <c r="B81" s="474"/>
      <c r="C81" s="474"/>
      <c r="D81" s="32">
        <f>SUM(D75:D80)</f>
        <v>0</v>
      </c>
    </row>
    <row r="83" spans="1:4" x14ac:dyDescent="0.2">
      <c r="A83" s="455" t="s">
        <v>84</v>
      </c>
      <c r="B83" s="455"/>
      <c r="C83" s="455"/>
      <c r="D83" s="455"/>
    </row>
    <row r="85" spans="1:4" x14ac:dyDescent="0.2">
      <c r="A85" s="467" t="s">
        <v>87</v>
      </c>
      <c r="B85" s="467"/>
      <c r="C85" s="467"/>
      <c r="D85" s="467"/>
    </row>
    <row r="86" spans="1:4" x14ac:dyDescent="0.2">
      <c r="A86" s="13" t="s">
        <v>85</v>
      </c>
      <c r="B86" s="474" t="s">
        <v>86</v>
      </c>
      <c r="C86" s="474"/>
      <c r="D86" s="190" t="s">
        <v>24</v>
      </c>
    </row>
    <row r="87" spans="1:4" x14ac:dyDescent="0.2">
      <c r="A87" s="6" t="s">
        <v>3</v>
      </c>
      <c r="B87" s="470" t="s">
        <v>88</v>
      </c>
      <c r="C87" s="471"/>
      <c r="D87" s="8"/>
    </row>
    <row r="88" spans="1:4" x14ac:dyDescent="0.2">
      <c r="A88" s="34" t="s">
        <v>4</v>
      </c>
      <c r="B88" s="488" t="s">
        <v>86</v>
      </c>
      <c r="C88" s="489"/>
      <c r="D88" s="120">
        <f>+'Calculo 44h Arm'!C185</f>
        <v>0</v>
      </c>
    </row>
    <row r="89" spans="1:4" s="60" customFormat="1" x14ac:dyDescent="0.2">
      <c r="A89" s="34" t="s">
        <v>5</v>
      </c>
      <c r="B89" s="488" t="s">
        <v>89</v>
      </c>
      <c r="C89" s="489"/>
      <c r="D89" s="120">
        <f>+'Calculo 44h Arm'!C194</f>
        <v>0</v>
      </c>
    </row>
    <row r="90" spans="1:4" s="60" customFormat="1" x14ac:dyDescent="0.2">
      <c r="A90" s="34" t="s">
        <v>6</v>
      </c>
      <c r="B90" s="488" t="s">
        <v>90</v>
      </c>
      <c r="C90" s="489"/>
      <c r="D90" s="120">
        <f>+'Calculo 44h Arm'!C202</f>
        <v>0</v>
      </c>
    </row>
    <row r="91" spans="1:4" s="60" customFormat="1" ht="13.5" x14ac:dyDescent="0.2">
      <c r="A91" s="34" t="s">
        <v>25</v>
      </c>
      <c r="B91" s="488" t="s">
        <v>287</v>
      </c>
      <c r="C91" s="489"/>
      <c r="D91" s="120"/>
    </row>
    <row r="92" spans="1:4" s="60" customFormat="1" x14ac:dyDescent="0.2">
      <c r="A92" s="34" t="s">
        <v>26</v>
      </c>
      <c r="B92" s="488" t="s">
        <v>93</v>
      </c>
      <c r="C92" s="489"/>
      <c r="D92" s="120">
        <f>+'Calculo 44h Arm'!C210</f>
        <v>0</v>
      </c>
    </row>
    <row r="93" spans="1:4" x14ac:dyDescent="0.2">
      <c r="A93" s="6" t="s">
        <v>27</v>
      </c>
      <c r="B93" s="470" t="s">
        <v>36</v>
      </c>
      <c r="C93" s="471"/>
      <c r="D93" s="8"/>
    </row>
    <row r="94" spans="1:4" x14ac:dyDescent="0.2">
      <c r="A94" s="6" t="s">
        <v>28</v>
      </c>
      <c r="B94" s="470" t="s">
        <v>94</v>
      </c>
      <c r="C94" s="471"/>
      <c r="D94" s="384"/>
    </row>
    <row r="95" spans="1:4" x14ac:dyDescent="0.2">
      <c r="A95" s="474" t="s">
        <v>29</v>
      </c>
      <c r="B95" s="474"/>
      <c r="C95" s="474"/>
      <c r="D95" s="9">
        <f>SUM(D87:D94)</f>
        <v>0</v>
      </c>
    </row>
    <row r="96" spans="1:4" x14ac:dyDescent="0.2">
      <c r="D96" s="15"/>
    </row>
    <row r="97" spans="1:4" x14ac:dyDescent="0.2">
      <c r="A97" s="13" t="s">
        <v>99</v>
      </c>
      <c r="B97" s="474" t="s">
        <v>92</v>
      </c>
      <c r="C97" s="474"/>
      <c r="D97" s="190" t="s">
        <v>24</v>
      </c>
    </row>
    <row r="98" spans="1:4" s="60" customFormat="1" x14ac:dyDescent="0.2">
      <c r="A98" s="34" t="s">
        <v>3</v>
      </c>
      <c r="B98" s="475" t="s">
        <v>96</v>
      </c>
      <c r="C98" s="476"/>
      <c r="D98" s="120">
        <f>+'Calculo 44h Arm'!C234</f>
        <v>0</v>
      </c>
    </row>
    <row r="99" spans="1:4" s="60" customFormat="1" ht="27" customHeight="1" x14ac:dyDescent="0.2">
      <c r="A99" s="34" t="s">
        <v>4</v>
      </c>
      <c r="B99" s="490" t="s">
        <v>98</v>
      </c>
      <c r="C99" s="491"/>
      <c r="D99" s="384"/>
    </row>
    <row r="100" spans="1:4" s="60" customFormat="1" ht="30" customHeight="1" x14ac:dyDescent="0.2">
      <c r="A100" s="34" t="s">
        <v>5</v>
      </c>
      <c r="B100" s="490" t="s">
        <v>97</v>
      </c>
      <c r="C100" s="491"/>
      <c r="D100" s="384"/>
    </row>
    <row r="101" spans="1:4" x14ac:dyDescent="0.2">
      <c r="A101" s="6" t="s">
        <v>6</v>
      </c>
      <c r="B101" s="470" t="s">
        <v>36</v>
      </c>
      <c r="C101" s="471"/>
      <c r="D101" s="8"/>
    </row>
    <row r="102" spans="1:4" x14ac:dyDescent="0.2">
      <c r="A102" s="474" t="s">
        <v>29</v>
      </c>
      <c r="B102" s="474"/>
      <c r="C102" s="474"/>
      <c r="D102" s="9">
        <f>SUM(D98:D101)</f>
        <v>0</v>
      </c>
    </row>
    <row r="103" spans="1:4" x14ac:dyDescent="0.2">
      <c r="D103" s="15"/>
    </row>
    <row r="104" spans="1:4" x14ac:dyDescent="0.2">
      <c r="A104" s="13" t="s">
        <v>91</v>
      </c>
      <c r="B104" s="474" t="s">
        <v>100</v>
      </c>
      <c r="C104" s="474"/>
      <c r="D104" s="190" t="s">
        <v>24</v>
      </c>
    </row>
    <row r="105" spans="1:4" s="50" customFormat="1" ht="33" customHeight="1" x14ac:dyDescent="0.2">
      <c r="A105" s="108" t="s">
        <v>3</v>
      </c>
      <c r="B105" s="492" t="s">
        <v>288</v>
      </c>
      <c r="C105" s="492"/>
      <c r="D105" s="49"/>
    </row>
    <row r="106" spans="1:4" x14ac:dyDescent="0.2">
      <c r="A106" s="474" t="s">
        <v>29</v>
      </c>
      <c r="B106" s="474"/>
      <c r="C106" s="474"/>
      <c r="D106" s="9">
        <f>SUM(D105:D105)</f>
        <v>0</v>
      </c>
    </row>
    <row r="108" spans="1:4" x14ac:dyDescent="0.2">
      <c r="A108" s="494" t="s">
        <v>109</v>
      </c>
      <c r="B108" s="494"/>
      <c r="C108" s="494"/>
      <c r="D108" s="494"/>
    </row>
    <row r="109" spans="1:4" x14ac:dyDescent="0.2">
      <c r="A109" s="6" t="s">
        <v>85</v>
      </c>
      <c r="B109" s="470" t="s">
        <v>86</v>
      </c>
      <c r="C109" s="471"/>
      <c r="D109" s="18">
        <f>+D95</f>
        <v>0</v>
      </c>
    </row>
    <row r="110" spans="1:4" x14ac:dyDescent="0.2">
      <c r="A110" s="6" t="s">
        <v>99</v>
      </c>
      <c r="B110" s="470" t="s">
        <v>92</v>
      </c>
      <c r="C110" s="471"/>
      <c r="D110" s="18">
        <f>+D102</f>
        <v>0</v>
      </c>
    </row>
    <row r="111" spans="1:4" x14ac:dyDescent="0.2">
      <c r="A111" s="74"/>
      <c r="B111" s="472" t="s">
        <v>110</v>
      </c>
      <c r="C111" s="473"/>
      <c r="D111" s="73">
        <f>+D110+D109</f>
        <v>0</v>
      </c>
    </row>
    <row r="112" spans="1:4" x14ac:dyDescent="0.2">
      <c r="A112" s="6" t="s">
        <v>91</v>
      </c>
      <c r="B112" s="470" t="s">
        <v>100</v>
      </c>
      <c r="C112" s="471"/>
      <c r="D112" s="18">
        <f>+D106</f>
        <v>0</v>
      </c>
    </row>
    <row r="113" spans="1:4" x14ac:dyDescent="0.2">
      <c r="A113" s="494" t="s">
        <v>29</v>
      </c>
      <c r="B113" s="494"/>
      <c r="C113" s="494"/>
      <c r="D113" s="71">
        <f>+D112+D111</f>
        <v>0</v>
      </c>
    </row>
    <row r="115" spans="1:4" x14ac:dyDescent="0.2">
      <c r="A115" s="455" t="s">
        <v>151</v>
      </c>
      <c r="B115" s="455"/>
      <c r="C115" s="455"/>
      <c r="D115" s="455"/>
    </row>
    <row r="117" spans="1:4" x14ac:dyDescent="0.2">
      <c r="A117" s="13">
        <v>5</v>
      </c>
      <c r="B117" s="474" t="s">
        <v>152</v>
      </c>
      <c r="C117" s="474"/>
      <c r="D117" s="190" t="s">
        <v>24</v>
      </c>
    </row>
    <row r="118" spans="1:4" x14ac:dyDescent="0.2">
      <c r="A118" s="6" t="s">
        <v>3</v>
      </c>
      <c r="B118" s="388" t="s">
        <v>153</v>
      </c>
      <c r="C118" s="388"/>
      <c r="D118" s="8">
        <f>+Uniforme!G131</f>
        <v>0</v>
      </c>
    </row>
    <row r="119" spans="1:4" x14ac:dyDescent="0.2">
      <c r="A119" s="6" t="s">
        <v>177</v>
      </c>
      <c r="B119" s="34" t="s">
        <v>178</v>
      </c>
      <c r="C119" s="29">
        <f>+$C$137+$C$138</f>
        <v>3.6499999999999998E-2</v>
      </c>
      <c r="D119" s="77">
        <f>+(C119*D118)*-1</f>
        <v>0</v>
      </c>
    </row>
    <row r="120" spans="1:4" x14ac:dyDescent="0.2">
      <c r="A120" s="6" t="s">
        <v>4</v>
      </c>
      <c r="B120" s="388" t="s">
        <v>154</v>
      </c>
      <c r="C120" s="388"/>
      <c r="D120" s="8"/>
    </row>
    <row r="121" spans="1:4" x14ac:dyDescent="0.2">
      <c r="A121" s="6" t="s">
        <v>41</v>
      </c>
      <c r="B121" s="34" t="s">
        <v>178</v>
      </c>
      <c r="C121" s="29">
        <f>+$C$137+$C$138</f>
        <v>3.6499999999999998E-2</v>
      </c>
      <c r="D121" s="77">
        <f>+(C121*D120)*-1</f>
        <v>0</v>
      </c>
    </row>
    <row r="122" spans="1:4" x14ac:dyDescent="0.2">
      <c r="A122" s="6" t="s">
        <v>5</v>
      </c>
      <c r="B122" s="388" t="s">
        <v>155</v>
      </c>
      <c r="C122" s="388"/>
      <c r="D122" s="8">
        <f>+Uniforme!F146</f>
        <v>0</v>
      </c>
    </row>
    <row r="123" spans="1:4" x14ac:dyDescent="0.2">
      <c r="A123" s="6" t="s">
        <v>161</v>
      </c>
      <c r="B123" s="34" t="s">
        <v>178</v>
      </c>
      <c r="C123" s="29">
        <f>+$C$137+$C$138</f>
        <v>3.6499999999999998E-2</v>
      </c>
      <c r="D123" s="77">
        <f>+(C123*D122)*-1</f>
        <v>0</v>
      </c>
    </row>
    <row r="124" spans="1:4" x14ac:dyDescent="0.2">
      <c r="A124" s="6" t="s">
        <v>6</v>
      </c>
      <c r="B124" s="388" t="s">
        <v>36</v>
      </c>
      <c r="C124" s="388"/>
      <c r="D124" s="8"/>
    </row>
    <row r="125" spans="1:4" x14ac:dyDescent="0.2">
      <c r="A125" s="6" t="s">
        <v>179</v>
      </c>
      <c r="B125" s="34" t="s">
        <v>178</v>
      </c>
      <c r="C125" s="29">
        <f>+$C$137+$C$138</f>
        <v>3.6499999999999998E-2</v>
      </c>
      <c r="D125" s="77">
        <f>+(C125*D124)*-1</f>
        <v>0</v>
      </c>
    </row>
    <row r="126" spans="1:4" x14ac:dyDescent="0.2">
      <c r="A126" s="474" t="s">
        <v>29</v>
      </c>
      <c r="B126" s="474"/>
      <c r="C126" s="474"/>
      <c r="D126" s="9">
        <f>SUM(D118:D124)</f>
        <v>0</v>
      </c>
    </row>
    <row r="128" spans="1:4" x14ac:dyDescent="0.2">
      <c r="A128" s="455" t="s">
        <v>156</v>
      </c>
      <c r="B128" s="455"/>
      <c r="C128" s="455"/>
      <c r="D128" s="455"/>
    </row>
    <row r="130" spans="1:4" x14ac:dyDescent="0.2">
      <c r="A130" s="13">
        <v>6</v>
      </c>
      <c r="B130" s="14" t="s">
        <v>157</v>
      </c>
      <c r="C130" s="193" t="s">
        <v>50</v>
      </c>
      <c r="D130" s="190" t="s">
        <v>24</v>
      </c>
    </row>
    <row r="131" spans="1:4" x14ac:dyDescent="0.2">
      <c r="A131" s="116" t="s">
        <v>3</v>
      </c>
      <c r="B131" s="116" t="s">
        <v>158</v>
      </c>
      <c r="C131" s="114">
        <v>0.03</v>
      </c>
      <c r="D131" s="377">
        <f>($D$126+$D$113+$D$81+$D$70+$D$25)*C131</f>
        <v>0</v>
      </c>
    </row>
    <row r="132" spans="1:4" x14ac:dyDescent="0.2">
      <c r="A132" s="116" t="s">
        <v>4</v>
      </c>
      <c r="B132" s="116" t="s">
        <v>159</v>
      </c>
      <c r="C132" s="114">
        <v>0.03</v>
      </c>
      <c r="D132" s="377">
        <f>($D$126+$D$113+$D$81+$D$70+$D$25+D131)*C132</f>
        <v>0</v>
      </c>
    </row>
    <row r="133" spans="1:4" s="79" customFormat="1" x14ac:dyDescent="0.2">
      <c r="A133" s="495" t="s">
        <v>181</v>
      </c>
      <c r="B133" s="496"/>
      <c r="C133" s="497"/>
      <c r="D133" s="81">
        <f>++D132+D131+D126+D113+D81+D70+D25</f>
        <v>0</v>
      </c>
    </row>
    <row r="134" spans="1:4" s="79" customFormat="1" x14ac:dyDescent="0.2">
      <c r="A134" s="498" t="s">
        <v>182</v>
      </c>
      <c r="B134" s="499"/>
      <c r="C134" s="500"/>
      <c r="D134" s="81">
        <f>ROUND(D133/(1-(C137+C138+C140+C142+C143)),2)</f>
        <v>0</v>
      </c>
    </row>
    <row r="135" spans="1:4" x14ac:dyDescent="0.2">
      <c r="A135" s="6" t="s">
        <v>5</v>
      </c>
      <c r="B135" s="6" t="s">
        <v>160</v>
      </c>
      <c r="C135" s="17"/>
      <c r="D135" s="6"/>
    </row>
    <row r="136" spans="1:4" x14ac:dyDescent="0.2">
      <c r="A136" s="6" t="s">
        <v>161</v>
      </c>
      <c r="B136" s="6" t="s">
        <v>162</v>
      </c>
      <c r="C136" s="17"/>
      <c r="D136" s="6"/>
    </row>
    <row r="137" spans="1:4" x14ac:dyDescent="0.2">
      <c r="A137" s="116" t="s">
        <v>163</v>
      </c>
      <c r="B137" s="116" t="s">
        <v>165</v>
      </c>
      <c r="C137" s="114">
        <v>6.4999999999999997E-3</v>
      </c>
      <c r="D137" s="377">
        <f>ROUND(C137*$D$134,2)</f>
        <v>0</v>
      </c>
    </row>
    <row r="138" spans="1:4" x14ac:dyDescent="0.2">
      <c r="A138" s="116" t="s">
        <v>164</v>
      </c>
      <c r="B138" s="116" t="s">
        <v>166</v>
      </c>
      <c r="C138" s="114">
        <v>0.03</v>
      </c>
      <c r="D138" s="377">
        <f>ROUND(C138*$D$134,2)</f>
        <v>0</v>
      </c>
    </row>
    <row r="139" spans="1:4" x14ac:dyDescent="0.2">
      <c r="A139" s="6" t="s">
        <v>167</v>
      </c>
      <c r="B139" s="6" t="s">
        <v>168</v>
      </c>
      <c r="C139" s="17"/>
      <c r="D139" s="18"/>
    </row>
    <row r="140" spans="1:4" x14ac:dyDescent="0.2">
      <c r="A140" s="6" t="s">
        <v>170</v>
      </c>
      <c r="B140" s="6" t="s">
        <v>169</v>
      </c>
      <c r="C140" s="17"/>
      <c r="D140" s="6"/>
    </row>
    <row r="141" spans="1:4" x14ac:dyDescent="0.2">
      <c r="A141" s="6" t="s">
        <v>171</v>
      </c>
      <c r="B141" s="6" t="s">
        <v>172</v>
      </c>
      <c r="C141" s="17"/>
      <c r="D141" s="6"/>
    </row>
    <row r="142" spans="1:4" x14ac:dyDescent="0.2">
      <c r="A142" s="116" t="s">
        <v>173</v>
      </c>
      <c r="B142" s="116" t="s">
        <v>174</v>
      </c>
      <c r="C142" s="114">
        <v>0.05</v>
      </c>
      <c r="D142" s="377">
        <f>ROUND(C142*$D$134,2)</f>
        <v>0</v>
      </c>
    </row>
    <row r="143" spans="1:4" x14ac:dyDescent="0.2">
      <c r="A143" s="6" t="s">
        <v>175</v>
      </c>
      <c r="B143" s="6" t="s">
        <v>176</v>
      </c>
      <c r="C143" s="17"/>
      <c r="D143" s="6"/>
    </row>
    <row r="144" spans="1:4" x14ac:dyDescent="0.2">
      <c r="A144" s="463" t="s">
        <v>29</v>
      </c>
      <c r="B144" s="464"/>
      <c r="C144" s="80">
        <f>+C143+C142+C140+C138+C137+C132+C131</f>
        <v>0.14650000000000002</v>
      </c>
      <c r="D144" s="9">
        <f>+D142+D140+D138+D137+D132+D131</f>
        <v>0</v>
      </c>
    </row>
    <row r="146" spans="1:4" x14ac:dyDescent="0.2">
      <c r="A146" s="501" t="s">
        <v>183</v>
      </c>
      <c r="B146" s="501"/>
      <c r="C146" s="501"/>
      <c r="D146" s="501"/>
    </row>
    <row r="147" spans="1:4" x14ac:dyDescent="0.2">
      <c r="A147" s="6" t="s">
        <v>3</v>
      </c>
      <c r="B147" s="456" t="s">
        <v>185</v>
      </c>
      <c r="C147" s="456"/>
      <c r="D147" s="8">
        <f>+D25</f>
        <v>0</v>
      </c>
    </row>
    <row r="148" spans="1:4" x14ac:dyDescent="0.2">
      <c r="A148" s="6" t="s">
        <v>184</v>
      </c>
      <c r="B148" s="456" t="s">
        <v>186</v>
      </c>
      <c r="C148" s="456"/>
      <c r="D148" s="8">
        <f>+D70</f>
        <v>0</v>
      </c>
    </row>
    <row r="149" spans="1:4" x14ac:dyDescent="0.2">
      <c r="A149" s="6" t="s">
        <v>5</v>
      </c>
      <c r="B149" s="456" t="s">
        <v>187</v>
      </c>
      <c r="C149" s="456"/>
      <c r="D149" s="8">
        <f>+D81</f>
        <v>0</v>
      </c>
    </row>
    <row r="150" spans="1:4" x14ac:dyDescent="0.2">
      <c r="A150" s="6" t="s">
        <v>6</v>
      </c>
      <c r="B150" s="456" t="s">
        <v>188</v>
      </c>
      <c r="C150" s="456"/>
      <c r="D150" s="8">
        <f>+D113</f>
        <v>0</v>
      </c>
    </row>
    <row r="151" spans="1:4" x14ac:dyDescent="0.2">
      <c r="A151" s="6" t="s">
        <v>25</v>
      </c>
      <c r="B151" s="456" t="s">
        <v>189</v>
      </c>
      <c r="C151" s="456"/>
      <c r="D151" s="8">
        <f>+D126</f>
        <v>0</v>
      </c>
    </row>
    <row r="152" spans="1:4" x14ac:dyDescent="0.2">
      <c r="B152" s="457" t="s">
        <v>192</v>
      </c>
      <c r="C152" s="457"/>
      <c r="D152" s="72">
        <f>SUM(D147:D151)</f>
        <v>0</v>
      </c>
    </row>
    <row r="153" spans="1:4" x14ac:dyDescent="0.2">
      <c r="A153" s="6" t="s">
        <v>26</v>
      </c>
      <c r="B153" s="456" t="s">
        <v>190</v>
      </c>
      <c r="C153" s="456"/>
      <c r="D153" s="8">
        <f>+D144</f>
        <v>0</v>
      </c>
    </row>
    <row r="155" spans="1:4" x14ac:dyDescent="0.2">
      <c r="A155" s="524" t="s">
        <v>191</v>
      </c>
      <c r="B155" s="524"/>
      <c r="C155" s="524"/>
      <c r="D155" s="82">
        <f>ROUND(+D153+D152,2)</f>
        <v>0</v>
      </c>
    </row>
    <row r="157" spans="1:4" x14ac:dyDescent="0.2">
      <c r="A157" s="459" t="s">
        <v>77</v>
      </c>
      <c r="B157" s="459"/>
      <c r="C157" s="459"/>
      <c r="D157" s="459"/>
    </row>
    <row r="159" spans="1:4" x14ac:dyDescent="0.2">
      <c r="A159" s="6" t="s">
        <v>3</v>
      </c>
      <c r="B159" s="6" t="s">
        <v>46</v>
      </c>
      <c r="C159" s="44" t="e">
        <f>+C31</f>
        <v>#DIV/0!</v>
      </c>
      <c r="D159" s="8">
        <f>+D31</f>
        <v>0</v>
      </c>
    </row>
    <row r="160" spans="1:4" x14ac:dyDescent="0.2">
      <c r="A160" s="6" t="s">
        <v>4</v>
      </c>
      <c r="B160" s="6" t="s">
        <v>45</v>
      </c>
      <c r="C160" s="44" t="e">
        <f>+C33</f>
        <v>#DIV/0!</v>
      </c>
      <c r="D160" s="8">
        <f>+D33</f>
        <v>0</v>
      </c>
    </row>
    <row r="161" spans="1:5" x14ac:dyDescent="0.2">
      <c r="A161" s="6" t="s">
        <v>5</v>
      </c>
      <c r="B161" s="6" t="s">
        <v>44</v>
      </c>
      <c r="C161" s="44" t="e">
        <f>+C34</f>
        <v>#DIV/0!</v>
      </c>
      <c r="D161" s="8">
        <f>+D34</f>
        <v>0</v>
      </c>
    </row>
    <row r="162" spans="1:5" ht="25.5" x14ac:dyDescent="0.2">
      <c r="A162" s="6" t="s">
        <v>6</v>
      </c>
      <c r="B162" s="30" t="s">
        <v>75</v>
      </c>
      <c r="C162" s="17" t="e">
        <f>+C77</f>
        <v>#DIV/0!</v>
      </c>
      <c r="D162" s="8">
        <f>+D77</f>
        <v>0</v>
      </c>
    </row>
    <row r="163" spans="1:5" ht="25.5" x14ac:dyDescent="0.2">
      <c r="A163" s="6" t="s">
        <v>25</v>
      </c>
      <c r="B163" s="30" t="s">
        <v>76</v>
      </c>
      <c r="C163" s="44" t="e">
        <f>+C80</f>
        <v>#DIV/0!</v>
      </c>
      <c r="D163" s="18">
        <f>+D80</f>
        <v>0</v>
      </c>
    </row>
    <row r="164" spans="1:5" x14ac:dyDescent="0.2">
      <c r="A164" s="6" t="s">
        <v>81</v>
      </c>
      <c r="B164" s="34" t="s">
        <v>79</v>
      </c>
      <c r="C164" s="458" t="e">
        <f>+(D164+D165+D166)/D25</f>
        <v>#DIV/0!</v>
      </c>
      <c r="D164" s="8">
        <f>ROUND(D31*(SUM($C$39:$C$46)),2)</f>
        <v>0</v>
      </c>
    </row>
    <row r="165" spans="1:5" x14ac:dyDescent="0.2">
      <c r="A165" s="6" t="s">
        <v>82</v>
      </c>
      <c r="B165" s="34" t="s">
        <v>78</v>
      </c>
      <c r="C165" s="458"/>
      <c r="D165" s="8">
        <f>ROUND(D33*(SUM($C$39:$C$46)),2)</f>
        <v>0</v>
      </c>
    </row>
    <row r="166" spans="1:5" x14ac:dyDescent="0.2">
      <c r="A166" s="6" t="s">
        <v>83</v>
      </c>
      <c r="B166" s="34" t="s">
        <v>80</v>
      </c>
      <c r="C166" s="458"/>
      <c r="D166" s="8">
        <f>ROUND(D34*(SUM($C$39:$C$46)),2)</f>
        <v>0</v>
      </c>
    </row>
    <row r="167" spans="1:5" x14ac:dyDescent="0.2">
      <c r="A167" s="460" t="s">
        <v>29</v>
      </c>
      <c r="B167" s="461"/>
      <c r="C167" s="462"/>
      <c r="D167" s="45">
        <f>SUM(D159:D166)</f>
        <v>0</v>
      </c>
    </row>
    <row r="168" spans="1:5" x14ac:dyDescent="0.2">
      <c r="B168" s="96"/>
      <c r="C168" s="96"/>
      <c r="D168" s="96"/>
    </row>
    <row r="169" spans="1:5" s="67" customFormat="1" ht="44.25" customHeight="1" x14ac:dyDescent="0.2">
      <c r="A169" s="452" t="s">
        <v>289</v>
      </c>
      <c r="B169" s="452"/>
      <c r="C169" s="452"/>
      <c r="D169" s="452"/>
      <c r="E169" s="128"/>
    </row>
    <row r="170" spans="1:5" x14ac:dyDescent="0.2">
      <c r="A170" s="97"/>
      <c r="B170" s="97"/>
      <c r="C170" s="97"/>
      <c r="D170" s="97"/>
      <c r="E170" s="97"/>
    </row>
    <row r="171" spans="1:5" ht="42" customHeight="1" x14ac:dyDescent="0.2">
      <c r="A171" s="453" t="s">
        <v>290</v>
      </c>
      <c r="B171" s="453"/>
      <c r="C171" s="453"/>
      <c r="D171" s="453"/>
      <c r="E171" s="97"/>
    </row>
    <row r="172" spans="1:5" x14ac:dyDescent="0.2">
      <c r="A172" s="97"/>
      <c r="B172" s="97"/>
      <c r="C172" s="97"/>
      <c r="D172" s="97"/>
      <c r="E172" s="97"/>
    </row>
    <row r="173" spans="1:5" x14ac:dyDescent="0.2">
      <c r="A173" s="97"/>
      <c r="B173" s="97"/>
      <c r="C173" s="97"/>
      <c r="D173" s="97"/>
      <c r="E173" s="97"/>
    </row>
    <row r="174" spans="1:5" x14ac:dyDescent="0.2">
      <c r="A174" s="97"/>
      <c r="B174" s="97"/>
      <c r="C174" s="97"/>
      <c r="D174" s="97"/>
      <c r="E174" s="97"/>
    </row>
    <row r="175" spans="1:5" x14ac:dyDescent="0.2">
      <c r="A175" s="97"/>
      <c r="B175" s="97"/>
      <c r="C175" s="97"/>
      <c r="D175" s="97"/>
      <c r="E175" s="97"/>
    </row>
    <row r="176" spans="1:5" x14ac:dyDescent="0.2">
      <c r="A176" s="97"/>
      <c r="B176" s="97"/>
      <c r="C176" s="97"/>
      <c r="D176" s="97"/>
      <c r="E176" s="97"/>
    </row>
    <row r="177" spans="1:5" x14ac:dyDescent="0.2">
      <c r="A177" s="97"/>
      <c r="B177" s="97"/>
      <c r="C177" s="97"/>
      <c r="D177" s="97"/>
      <c r="E177" s="97"/>
    </row>
    <row r="178" spans="1:5" x14ac:dyDescent="0.2">
      <c r="A178" s="97"/>
      <c r="B178" s="97"/>
      <c r="C178" s="97"/>
      <c r="D178" s="97"/>
      <c r="E178" s="97"/>
    </row>
    <row r="179" spans="1:5" x14ac:dyDescent="0.2">
      <c r="A179" s="97"/>
      <c r="B179" s="97"/>
      <c r="C179" s="97"/>
      <c r="D179" s="97"/>
      <c r="E179" s="97"/>
    </row>
    <row r="180" spans="1:5" x14ac:dyDescent="0.2">
      <c r="A180" s="97"/>
      <c r="B180" s="97"/>
      <c r="C180" s="97"/>
      <c r="D180" s="97"/>
      <c r="E180" s="97"/>
    </row>
    <row r="181" spans="1:5" x14ac:dyDescent="0.2">
      <c r="A181" s="97"/>
      <c r="B181" s="97"/>
      <c r="C181" s="97"/>
      <c r="D181" s="97"/>
      <c r="E181" s="97"/>
    </row>
    <row r="182" spans="1:5" x14ac:dyDescent="0.2">
      <c r="A182" s="97"/>
      <c r="B182" s="97"/>
      <c r="C182" s="97"/>
      <c r="D182" s="97"/>
      <c r="E182" s="97"/>
    </row>
    <row r="183" spans="1:5" x14ac:dyDescent="0.2">
      <c r="A183" s="97"/>
      <c r="B183" s="97"/>
      <c r="C183" s="97"/>
      <c r="D183" s="97"/>
      <c r="E183" s="97"/>
    </row>
    <row r="184" spans="1:5" x14ac:dyDescent="0.2">
      <c r="A184" s="97"/>
      <c r="B184" s="97"/>
      <c r="C184" s="97"/>
      <c r="D184" s="97"/>
      <c r="E184" s="97"/>
    </row>
    <row r="185" spans="1:5" x14ac:dyDescent="0.2">
      <c r="A185" s="97"/>
      <c r="B185" s="97"/>
      <c r="C185" s="97"/>
      <c r="D185" s="97"/>
      <c r="E185" s="97"/>
    </row>
  </sheetData>
  <mergeCells count="85">
    <mergeCell ref="B18:C18"/>
    <mergeCell ref="A1:D1"/>
    <mergeCell ref="A4:D4"/>
    <mergeCell ref="C5:D5"/>
    <mergeCell ref="C6:D6"/>
    <mergeCell ref="C7:D7"/>
    <mergeCell ref="C8:D8"/>
    <mergeCell ref="C9:D9"/>
    <mergeCell ref="A11:D11"/>
    <mergeCell ref="B13:C13"/>
    <mergeCell ref="B16:C16"/>
    <mergeCell ref="B17:C17"/>
    <mergeCell ref="B61:C61"/>
    <mergeCell ref="B19:C19"/>
    <mergeCell ref="B20:C20"/>
    <mergeCell ref="B22:C22"/>
    <mergeCell ref="B23:C23"/>
    <mergeCell ref="B24:C24"/>
    <mergeCell ref="A25:C25"/>
    <mergeCell ref="A27:D27"/>
    <mergeCell ref="A29:D29"/>
    <mergeCell ref="A35:C35"/>
    <mergeCell ref="A37:D37"/>
    <mergeCell ref="A49:D49"/>
    <mergeCell ref="B86:C86"/>
    <mergeCell ref="A63:B63"/>
    <mergeCell ref="A65:D65"/>
    <mergeCell ref="B66:C66"/>
    <mergeCell ref="B67:C67"/>
    <mergeCell ref="B68:C68"/>
    <mergeCell ref="B69:C69"/>
    <mergeCell ref="A70:C70"/>
    <mergeCell ref="A72:D72"/>
    <mergeCell ref="A81:C81"/>
    <mergeCell ref="A83:D83"/>
    <mergeCell ref="A85:D85"/>
    <mergeCell ref="B99:C99"/>
    <mergeCell ref="B87:C87"/>
    <mergeCell ref="B88:C88"/>
    <mergeCell ref="B89:C89"/>
    <mergeCell ref="B90:C90"/>
    <mergeCell ref="B91:C91"/>
    <mergeCell ref="B92:C92"/>
    <mergeCell ref="B93:C93"/>
    <mergeCell ref="B94:C94"/>
    <mergeCell ref="A95:C95"/>
    <mergeCell ref="B97:C97"/>
    <mergeCell ref="B98:C98"/>
    <mergeCell ref="A115:D115"/>
    <mergeCell ref="B100:C100"/>
    <mergeCell ref="B101:C101"/>
    <mergeCell ref="A102:C102"/>
    <mergeCell ref="B104:C104"/>
    <mergeCell ref="B105:C105"/>
    <mergeCell ref="A106:C106"/>
    <mergeCell ref="B109:C109"/>
    <mergeCell ref="B110:C110"/>
    <mergeCell ref="B111:C111"/>
    <mergeCell ref="B112:C112"/>
    <mergeCell ref="A113:C113"/>
    <mergeCell ref="A108:D108"/>
    <mergeCell ref="A134:C134"/>
    <mergeCell ref="A144:B144"/>
    <mergeCell ref="A146:D146"/>
    <mergeCell ref="B147:C147"/>
    <mergeCell ref="B117:C117"/>
    <mergeCell ref="B118:C118"/>
    <mergeCell ref="B120:C120"/>
    <mergeCell ref="B122:C122"/>
    <mergeCell ref="B124:C124"/>
    <mergeCell ref="A126:C126"/>
    <mergeCell ref="A128:D128"/>
    <mergeCell ref="A133:C133"/>
    <mergeCell ref="A171:D171"/>
    <mergeCell ref="B148:C148"/>
    <mergeCell ref="B149:C149"/>
    <mergeCell ref="B150:C150"/>
    <mergeCell ref="B151:C151"/>
    <mergeCell ref="B152:C152"/>
    <mergeCell ref="B153:C153"/>
    <mergeCell ref="A155:C155"/>
    <mergeCell ref="A157:D157"/>
    <mergeCell ref="C164:C166"/>
    <mergeCell ref="A167:C167"/>
    <mergeCell ref="A169:D169"/>
  </mergeCells>
  <pageMargins left="1.31" right="0.12" top="0.43" bottom="0.57999999999999996" header="0.31496062992125984" footer="0.31496062992125984"/>
  <pageSetup paperSize="9" scale="90" orientation="portrait" r:id="rId1"/>
  <headerFooter>
    <oddFooter>&amp;A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>
    <tabColor rgb="FF77E57C"/>
  </sheetPr>
  <dimension ref="A1:D244"/>
  <sheetViews>
    <sheetView workbookViewId="0">
      <selection activeCell="E15" sqref="E15"/>
    </sheetView>
  </sheetViews>
  <sheetFormatPr defaultRowHeight="12.75" x14ac:dyDescent="0.2"/>
  <cols>
    <col min="1" max="1" width="64.5" customWidth="1"/>
    <col min="2" max="3" width="12.25" bestFit="1" customWidth="1"/>
    <col min="4" max="4" width="9.375" bestFit="1" customWidth="1"/>
    <col min="5" max="5" width="69.125" customWidth="1"/>
  </cols>
  <sheetData>
    <row r="1" spans="1:3" ht="16.5" x14ac:dyDescent="0.25">
      <c r="A1" s="565" t="s">
        <v>368</v>
      </c>
      <c r="B1" s="565"/>
      <c r="C1" s="565"/>
    </row>
    <row r="3" spans="1:3" x14ac:dyDescent="0.2">
      <c r="A3" s="6" t="s">
        <v>345</v>
      </c>
      <c r="B3" s="6">
        <v>220</v>
      </c>
    </row>
    <row r="4" spans="1:3" x14ac:dyDescent="0.2">
      <c r="A4" s="6" t="s">
        <v>228</v>
      </c>
      <c r="B4" s="6">
        <v>365.25</v>
      </c>
    </row>
    <row r="5" spans="1:3" x14ac:dyDescent="0.2">
      <c r="A5" s="6" t="s">
        <v>230</v>
      </c>
      <c r="B5" s="51">
        <f>(365.25/12)/(7/5)</f>
        <v>21.741071428571431</v>
      </c>
    </row>
    <row r="6" spans="1:3" x14ac:dyDescent="0.2">
      <c r="A6" s="34" t="s">
        <v>30</v>
      </c>
      <c r="B6" s="18">
        <f>+'Vigilante 44h Arm'!D13</f>
        <v>0</v>
      </c>
    </row>
    <row r="7" spans="1:3" x14ac:dyDescent="0.2">
      <c r="A7" s="34" t="s">
        <v>241</v>
      </c>
      <c r="B7" s="18">
        <f>+'Vigilante 44h Arm'!D25</f>
        <v>0</v>
      </c>
    </row>
    <row r="9" spans="1:3" x14ac:dyDescent="0.2">
      <c r="A9" s="503" t="s">
        <v>209</v>
      </c>
      <c r="B9" s="503"/>
      <c r="C9" s="503"/>
    </row>
    <row r="10" spans="1:3" x14ac:dyDescent="0.2">
      <c r="A10" s="6" t="s">
        <v>30</v>
      </c>
      <c r="B10" s="52"/>
      <c r="C10" s="90">
        <f>+'Vigilante 44h Arm'!D13</f>
        <v>0</v>
      </c>
    </row>
    <row r="11" spans="1:3" x14ac:dyDescent="0.2">
      <c r="A11" s="6" t="s">
        <v>31</v>
      </c>
      <c r="B11" s="52"/>
      <c r="C11" s="90">
        <f>+'Vigilante 44h Arm'!D14</f>
        <v>0</v>
      </c>
    </row>
    <row r="12" spans="1:3" x14ac:dyDescent="0.2">
      <c r="A12" s="6" t="s">
        <v>32</v>
      </c>
      <c r="B12" s="52"/>
      <c r="C12" s="90">
        <f>+'Vigilante 44h Arm'!D15</f>
        <v>0</v>
      </c>
    </row>
    <row r="13" spans="1:3" x14ac:dyDescent="0.2">
      <c r="A13" s="6" t="s">
        <v>33</v>
      </c>
      <c r="B13" s="52"/>
      <c r="C13" s="90">
        <f>+'Vigilante 44h Arm'!D16</f>
        <v>0</v>
      </c>
    </row>
    <row r="14" spans="1:3" x14ac:dyDescent="0.2">
      <c r="A14" s="6" t="s">
        <v>34</v>
      </c>
      <c r="B14" s="52"/>
      <c r="C14" s="90">
        <f>+'Vigilante 44h Arm'!D17</f>
        <v>0</v>
      </c>
    </row>
    <row r="15" spans="1:3" x14ac:dyDescent="0.2">
      <c r="A15" t="s">
        <v>65</v>
      </c>
      <c r="B15" s="52"/>
      <c r="C15" s="90">
        <f>+'Vigilante 44h Arm'!D21</f>
        <v>0</v>
      </c>
    </row>
    <row r="16" spans="1:3" x14ac:dyDescent="0.2">
      <c r="A16" s="6" t="s">
        <v>344</v>
      </c>
      <c r="B16" s="52"/>
      <c r="C16" s="90">
        <f>+'Vigilante 44h Arm'!D23</f>
        <v>0</v>
      </c>
    </row>
    <row r="17" spans="1:3" x14ac:dyDescent="0.2">
      <c r="A17" s="35" t="s">
        <v>193</v>
      </c>
      <c r="B17" s="101"/>
      <c r="C17" s="102">
        <f>SUM(C10:C16)</f>
        <v>0</v>
      </c>
    </row>
    <row r="18" spans="1:3" x14ac:dyDescent="0.2">
      <c r="A18" s="6" t="s">
        <v>102</v>
      </c>
      <c r="B18" s="57">
        <f>+B3</f>
        <v>220</v>
      </c>
      <c r="C18" s="54"/>
    </row>
    <row r="19" spans="1:3" x14ac:dyDescent="0.2">
      <c r="A19" s="35" t="s">
        <v>103</v>
      </c>
      <c r="B19" s="101"/>
      <c r="C19" s="36">
        <f>+C17/B18</f>
        <v>0</v>
      </c>
    </row>
    <row r="20" spans="1:3" x14ac:dyDescent="0.2">
      <c r="A20" s="6" t="s">
        <v>197</v>
      </c>
      <c r="B20" s="6">
        <v>12</v>
      </c>
      <c r="C20" s="54"/>
    </row>
    <row r="21" spans="1:3" x14ac:dyDescent="0.2">
      <c r="A21" s="6" t="s">
        <v>198</v>
      </c>
      <c r="B21" s="6">
        <f>44/5</f>
        <v>8.8000000000000007</v>
      </c>
      <c r="C21" s="54"/>
    </row>
    <row r="22" spans="1:3" x14ac:dyDescent="0.2">
      <c r="A22" s="6" t="s">
        <v>199</v>
      </c>
      <c r="B22" s="6">
        <f>+B21*B20</f>
        <v>105.60000000000001</v>
      </c>
      <c r="C22" s="8">
        <f>+B22*C19</f>
        <v>0</v>
      </c>
    </row>
    <row r="23" spans="1:3" x14ac:dyDescent="0.2">
      <c r="A23" s="6" t="s">
        <v>200</v>
      </c>
      <c r="B23" s="17">
        <v>1</v>
      </c>
      <c r="C23" s="8">
        <f>+B23*C22</f>
        <v>0</v>
      </c>
    </row>
    <row r="24" spans="1:3" x14ac:dyDescent="0.2">
      <c r="A24" s="6" t="s">
        <v>201</v>
      </c>
      <c r="B24" s="17">
        <v>1</v>
      </c>
      <c r="C24" s="8">
        <f>+B24*C23</f>
        <v>0</v>
      </c>
    </row>
    <row r="25" spans="1:3" x14ac:dyDescent="0.2">
      <c r="A25" s="6" t="s">
        <v>202</v>
      </c>
      <c r="B25" s="6">
        <v>12</v>
      </c>
      <c r="C25" s="91"/>
    </row>
    <row r="26" spans="1:3" x14ac:dyDescent="0.2">
      <c r="A26" s="504" t="s">
        <v>203</v>
      </c>
      <c r="B26" s="505"/>
      <c r="C26" s="45">
        <f>+C24/B25</f>
        <v>0</v>
      </c>
    </row>
    <row r="27" spans="1:3" x14ac:dyDescent="0.2">
      <c r="C27" s="15"/>
    </row>
    <row r="28" spans="1:3" x14ac:dyDescent="0.2">
      <c r="A28" s="503" t="s">
        <v>210</v>
      </c>
      <c r="B28" s="503"/>
      <c r="C28" s="503"/>
    </row>
    <row r="29" spans="1:3" x14ac:dyDescent="0.2">
      <c r="A29" s="6" t="s">
        <v>103</v>
      </c>
      <c r="B29" s="52"/>
      <c r="C29" s="90">
        <v>0</v>
      </c>
    </row>
    <row r="30" spans="1:3" x14ac:dyDescent="0.2">
      <c r="A30" s="6" t="s">
        <v>199</v>
      </c>
      <c r="B30" s="6">
        <v>192</v>
      </c>
      <c r="C30" s="54"/>
    </row>
    <row r="31" spans="1:3" x14ac:dyDescent="0.2">
      <c r="A31" s="6" t="s">
        <v>204</v>
      </c>
      <c r="B31" s="6">
        <f>+$B$4</f>
        <v>365.25</v>
      </c>
      <c r="C31" s="54"/>
    </row>
    <row r="32" spans="1:3" x14ac:dyDescent="0.2">
      <c r="A32" s="6" t="s">
        <v>197</v>
      </c>
      <c r="B32" s="6">
        <v>12</v>
      </c>
      <c r="C32" s="54"/>
    </row>
    <row r="33" spans="1:3" x14ac:dyDescent="0.2">
      <c r="A33" s="6" t="s">
        <v>200</v>
      </c>
      <c r="B33" s="17">
        <v>1</v>
      </c>
      <c r="C33" s="54"/>
    </row>
    <row r="34" spans="1:3" x14ac:dyDescent="0.2">
      <c r="A34" s="6" t="s">
        <v>205</v>
      </c>
      <c r="B34" s="92">
        <f>ROUND(((B31/7)*6)-B32,2)</f>
        <v>301.07</v>
      </c>
      <c r="C34" s="54"/>
    </row>
    <row r="35" spans="1:3" x14ac:dyDescent="0.2">
      <c r="A35" s="6" t="s">
        <v>206</v>
      </c>
      <c r="B35" s="34">
        <v>12</v>
      </c>
      <c r="C35" s="54"/>
    </row>
    <row r="36" spans="1:3" ht="25.5" x14ac:dyDescent="0.2">
      <c r="A36" s="30" t="s">
        <v>207</v>
      </c>
      <c r="B36" s="6">
        <f>+((B30/B35)*B33)/B34</f>
        <v>5.3143787159132427E-2</v>
      </c>
      <c r="C36" s="54"/>
    </row>
    <row r="37" spans="1:3" x14ac:dyDescent="0.2">
      <c r="A37" s="24" t="s">
        <v>208</v>
      </c>
      <c r="B37" s="24"/>
      <c r="C37" s="45">
        <f>+C29*(B31-B34)*B36</f>
        <v>0</v>
      </c>
    </row>
    <row r="38" spans="1:3" x14ac:dyDescent="0.2">
      <c r="C38" s="15"/>
    </row>
    <row r="39" spans="1:3" x14ac:dyDescent="0.2">
      <c r="A39" s="503" t="s">
        <v>343</v>
      </c>
      <c r="B39" s="503"/>
      <c r="C39" s="503"/>
    </row>
    <row r="40" spans="1:3" x14ac:dyDescent="0.2">
      <c r="A40" s="6" t="s">
        <v>30</v>
      </c>
      <c r="B40" s="52"/>
      <c r="C40" s="90">
        <v>0</v>
      </c>
    </row>
    <row r="41" spans="1:3" x14ac:dyDescent="0.2">
      <c r="A41" s="6" t="s">
        <v>102</v>
      </c>
      <c r="B41" s="57">
        <f>+B3</f>
        <v>220</v>
      </c>
      <c r="C41" s="54"/>
    </row>
    <row r="42" spans="1:3" x14ac:dyDescent="0.2">
      <c r="A42" s="35" t="s">
        <v>103</v>
      </c>
      <c r="B42" s="101"/>
      <c r="C42" s="36">
        <f>+C40/B41</f>
        <v>0</v>
      </c>
    </row>
    <row r="43" spans="1:3" s="60" customFormat="1" x14ac:dyDescent="0.2">
      <c r="A43" s="6" t="s">
        <v>351</v>
      </c>
      <c r="B43" s="17">
        <v>0.5</v>
      </c>
      <c r="C43" s="181"/>
    </row>
    <row r="44" spans="1:3" s="60" customFormat="1" x14ac:dyDescent="0.2">
      <c r="A44" s="35" t="s">
        <v>352</v>
      </c>
      <c r="B44" s="104"/>
      <c r="C44" s="181">
        <f>+C42*(1+B43)</f>
        <v>0</v>
      </c>
    </row>
    <row r="45" spans="1:3" x14ac:dyDescent="0.2">
      <c r="A45" s="34" t="s">
        <v>346</v>
      </c>
      <c r="B45" s="6">
        <v>12</v>
      </c>
      <c r="C45" s="54"/>
    </row>
    <row r="46" spans="1:3" x14ac:dyDescent="0.2">
      <c r="A46" s="6" t="s">
        <v>230</v>
      </c>
      <c r="B46" s="180">
        <f>+B5</f>
        <v>21.741071428571431</v>
      </c>
      <c r="C46" s="54"/>
    </row>
    <row r="47" spans="1:3" x14ac:dyDescent="0.2">
      <c r="A47" s="34" t="s">
        <v>347</v>
      </c>
      <c r="B47" s="6">
        <v>192</v>
      </c>
      <c r="C47" s="54"/>
    </row>
    <row r="48" spans="1:3" x14ac:dyDescent="0.2">
      <c r="A48" s="34" t="s">
        <v>348</v>
      </c>
      <c r="B48" s="6">
        <f>ROUND(+B46*B45,2)</f>
        <v>260.89</v>
      </c>
      <c r="C48" s="54"/>
    </row>
    <row r="49" spans="1:3" x14ac:dyDescent="0.2">
      <c r="A49" s="34" t="s">
        <v>349</v>
      </c>
      <c r="B49" s="6">
        <f>+B48-B47</f>
        <v>68.889999999999986</v>
      </c>
      <c r="C49" s="54"/>
    </row>
    <row r="50" spans="1:3" x14ac:dyDescent="0.2">
      <c r="A50" s="24" t="s">
        <v>350</v>
      </c>
      <c r="B50" s="24"/>
      <c r="C50" s="45">
        <f>+B49*C44</f>
        <v>0</v>
      </c>
    </row>
    <row r="51" spans="1:3" x14ac:dyDescent="0.2">
      <c r="C51" s="15"/>
    </row>
    <row r="52" spans="1:3" x14ac:dyDescent="0.2">
      <c r="A52" s="459" t="s">
        <v>107</v>
      </c>
      <c r="B52" s="459"/>
      <c r="C52" s="459"/>
    </row>
    <row r="53" spans="1:3" x14ac:dyDescent="0.2">
      <c r="A53" s="55" t="s">
        <v>30</v>
      </c>
      <c r="B53" s="86"/>
      <c r="C53" s="56">
        <v>0</v>
      </c>
    </row>
    <row r="54" spans="1:3" x14ac:dyDescent="0.2">
      <c r="A54" s="55" t="s">
        <v>31</v>
      </c>
      <c r="B54" s="58"/>
      <c r="C54" s="56">
        <f>+'Vigilante 44h Arm'!D14</f>
        <v>0</v>
      </c>
    </row>
    <row r="55" spans="1:3" x14ac:dyDescent="0.2">
      <c r="A55" s="55" t="s">
        <v>32</v>
      </c>
      <c r="B55" s="58"/>
      <c r="C55" s="56">
        <f>+'Vigilante 44h Arm'!D15</f>
        <v>0</v>
      </c>
    </row>
    <row r="56" spans="1:3" x14ac:dyDescent="0.2">
      <c r="A56" s="55" t="s">
        <v>33</v>
      </c>
      <c r="B56" s="58"/>
      <c r="C56" s="56">
        <f>+'Vigilante 44h Arm'!D16</f>
        <v>0</v>
      </c>
    </row>
    <row r="57" spans="1:3" x14ac:dyDescent="0.2">
      <c r="A57" s="55" t="s">
        <v>34</v>
      </c>
      <c r="B57" s="58"/>
      <c r="C57" s="56">
        <f>+'Vigilante 44h Arm'!D17</f>
        <v>0</v>
      </c>
    </row>
    <row r="58" spans="1:3" x14ac:dyDescent="0.2">
      <c r="A58" s="55" t="s">
        <v>35</v>
      </c>
      <c r="B58" s="58"/>
      <c r="C58" s="56">
        <f>+'Vigilante 44h Arm'!D19</f>
        <v>0</v>
      </c>
    </row>
    <row r="59" spans="1:3" x14ac:dyDescent="0.2">
      <c r="A59" s="55" t="s">
        <v>65</v>
      </c>
      <c r="B59" s="58"/>
      <c r="C59" s="56">
        <f>+'Vigilante 44h Arm'!D21</f>
        <v>0</v>
      </c>
    </row>
    <row r="60" spans="1:3" x14ac:dyDescent="0.2">
      <c r="A60" s="35" t="s">
        <v>101</v>
      </c>
      <c r="B60" s="99"/>
      <c r="C60" s="100">
        <f>SUM(C53:C59)</f>
        <v>0</v>
      </c>
    </row>
    <row r="61" spans="1:3" x14ac:dyDescent="0.2">
      <c r="A61" s="6" t="s">
        <v>102</v>
      </c>
      <c r="B61" s="57">
        <f>+B3</f>
        <v>220</v>
      </c>
      <c r="C61" s="58"/>
    </row>
    <row r="62" spans="1:3" x14ac:dyDescent="0.2">
      <c r="A62" s="6" t="s">
        <v>103</v>
      </c>
      <c r="B62" s="58"/>
      <c r="C62" s="59">
        <f>ROUND(+C60/B61,2)</f>
        <v>0</v>
      </c>
    </row>
    <row r="63" spans="1:3" x14ac:dyDescent="0.2">
      <c r="A63" s="6" t="s">
        <v>229</v>
      </c>
      <c r="B63" s="51">
        <f>(365.25/12)/(7/5)</f>
        <v>21.741071428571431</v>
      </c>
      <c r="C63" s="58"/>
    </row>
    <row r="64" spans="1:3" x14ac:dyDescent="0.2">
      <c r="A64" s="6" t="s">
        <v>105</v>
      </c>
      <c r="B64" s="17">
        <v>0.5</v>
      </c>
      <c r="C64" s="6"/>
    </row>
    <row r="65" spans="1:3" x14ac:dyDescent="0.2">
      <c r="A65" s="504" t="s">
        <v>106</v>
      </c>
      <c r="B65" s="505"/>
      <c r="C65" s="45">
        <f>ROUND((B63*C62)*(1+B64),2)</f>
        <v>0</v>
      </c>
    </row>
    <row r="67" spans="1:3" x14ac:dyDescent="0.2">
      <c r="A67" s="459" t="s">
        <v>212</v>
      </c>
      <c r="B67" s="459"/>
      <c r="C67" s="459"/>
    </row>
    <row r="68" spans="1:3" x14ac:dyDescent="0.2">
      <c r="A68" s="6" t="s">
        <v>204</v>
      </c>
      <c r="B68" s="6">
        <v>365.25</v>
      </c>
      <c r="C68" s="52"/>
    </row>
    <row r="69" spans="1:3" x14ac:dyDescent="0.2">
      <c r="A69" s="6" t="s">
        <v>206</v>
      </c>
      <c r="B69" s="34">
        <v>12</v>
      </c>
      <c r="C69" s="52"/>
    </row>
    <row r="70" spans="1:3" x14ac:dyDescent="0.2">
      <c r="A70" s="6" t="s">
        <v>213</v>
      </c>
      <c r="B70" s="17">
        <v>1</v>
      </c>
      <c r="C70" s="52"/>
    </row>
    <row r="71" spans="1:3" x14ac:dyDescent="0.2">
      <c r="A71" s="103" t="s">
        <v>448</v>
      </c>
      <c r="B71" s="34">
        <v>7</v>
      </c>
      <c r="C71" s="52"/>
    </row>
    <row r="72" spans="1:3" x14ac:dyDescent="0.2">
      <c r="A72" s="34" t="s">
        <v>214</v>
      </c>
      <c r="B72" s="52"/>
      <c r="C72" s="18"/>
    </row>
    <row r="73" spans="1:3" x14ac:dyDescent="0.2">
      <c r="A73" s="34" t="s">
        <v>31</v>
      </c>
      <c r="B73" s="52"/>
      <c r="C73" s="18"/>
    </row>
    <row r="74" spans="1:3" x14ac:dyDescent="0.2">
      <c r="A74" s="34" t="s">
        <v>32</v>
      </c>
      <c r="B74" s="52"/>
      <c r="C74" s="18"/>
    </row>
    <row r="75" spans="1:3" x14ac:dyDescent="0.2">
      <c r="A75" s="104" t="s">
        <v>193</v>
      </c>
      <c r="B75" s="52"/>
      <c r="C75" s="105">
        <f>SUM(C72:C74)</f>
        <v>0</v>
      </c>
    </row>
    <row r="76" spans="1:3" x14ac:dyDescent="0.2">
      <c r="A76" s="6" t="s">
        <v>102</v>
      </c>
      <c r="B76" s="106">
        <f>+B3</f>
        <v>220</v>
      </c>
      <c r="C76" s="52"/>
    </row>
    <row r="77" spans="1:3" x14ac:dyDescent="0.2">
      <c r="A77" s="34" t="s">
        <v>215</v>
      </c>
      <c r="B77" s="17">
        <v>0.2</v>
      </c>
      <c r="C77" s="52"/>
    </row>
    <row r="78" spans="1:3" x14ac:dyDescent="0.2">
      <c r="A78" s="34" t="s">
        <v>216</v>
      </c>
      <c r="B78" s="52"/>
      <c r="C78" s="8">
        <f>ROUND((C75/B76)*B77,2)</f>
        <v>0</v>
      </c>
    </row>
    <row r="79" spans="1:3" x14ac:dyDescent="0.2">
      <c r="A79" s="34" t="s">
        <v>217</v>
      </c>
      <c r="B79" s="6">
        <f>ROUND(+B68/B69*B70*B71,0)</f>
        <v>213</v>
      </c>
      <c r="C79" s="53"/>
    </row>
    <row r="80" spans="1:3" x14ac:dyDescent="0.2">
      <c r="A80" s="506" t="s">
        <v>218</v>
      </c>
      <c r="B80" s="506"/>
      <c r="C80" s="32">
        <f>ROUND(+B79*C78,2)</f>
        <v>0</v>
      </c>
    </row>
    <row r="82" spans="1:4" x14ac:dyDescent="0.2">
      <c r="A82" s="503" t="s">
        <v>232</v>
      </c>
      <c r="B82" s="503"/>
      <c r="C82" s="503"/>
    </row>
    <row r="83" spans="1:4" x14ac:dyDescent="0.2">
      <c r="A83" s="6" t="s">
        <v>103</v>
      </c>
      <c r="B83" s="52"/>
      <c r="C83" s="90">
        <f>+C80</f>
        <v>0</v>
      </c>
    </row>
    <row r="84" spans="1:4" x14ac:dyDescent="0.2">
      <c r="A84" s="6" t="s">
        <v>199</v>
      </c>
      <c r="B84" s="6">
        <v>192</v>
      </c>
      <c r="C84" s="54"/>
    </row>
    <row r="85" spans="1:4" x14ac:dyDescent="0.2">
      <c r="A85" s="6" t="s">
        <v>204</v>
      </c>
      <c r="B85" s="6">
        <f>+$B$4</f>
        <v>365.25</v>
      </c>
      <c r="C85" s="54"/>
    </row>
    <row r="86" spans="1:4" x14ac:dyDescent="0.2">
      <c r="A86" s="6" t="s">
        <v>197</v>
      </c>
      <c r="B86" s="6">
        <v>12</v>
      </c>
      <c r="C86" s="54"/>
    </row>
    <row r="87" spans="1:4" x14ac:dyDescent="0.2">
      <c r="A87" s="6" t="s">
        <v>200</v>
      </c>
      <c r="B87" s="17">
        <v>1</v>
      </c>
      <c r="C87" s="54"/>
    </row>
    <row r="88" spans="1:4" x14ac:dyDescent="0.2">
      <c r="A88" s="6" t="s">
        <v>205</v>
      </c>
      <c r="B88" s="92">
        <f>ROUND(((B85/7)*6)-B86,2)</f>
        <v>301.07</v>
      </c>
      <c r="C88" s="54"/>
    </row>
    <row r="89" spans="1:4" x14ac:dyDescent="0.2">
      <c r="A89" s="6" t="s">
        <v>206</v>
      </c>
      <c r="B89" s="34">
        <v>12</v>
      </c>
      <c r="C89" s="54"/>
    </row>
    <row r="90" spans="1:4" ht="25.5" x14ac:dyDescent="0.2">
      <c r="A90" s="30" t="s">
        <v>207</v>
      </c>
      <c r="B90" s="6">
        <f>+((B84/B89)*B87)/B88</f>
        <v>5.3143787159132427E-2</v>
      </c>
      <c r="C90" s="54"/>
    </row>
    <row r="91" spans="1:4" x14ac:dyDescent="0.2">
      <c r="A91" s="24" t="s">
        <v>208</v>
      </c>
      <c r="B91" s="24"/>
      <c r="C91" s="45">
        <f>+C83/B84*(B85-B88)*B90</f>
        <v>0</v>
      </c>
    </row>
    <row r="93" spans="1:4" x14ac:dyDescent="0.2">
      <c r="A93" s="459" t="s">
        <v>219</v>
      </c>
      <c r="B93" s="459"/>
      <c r="C93" s="459"/>
    </row>
    <row r="94" spans="1:4" x14ac:dyDescent="0.2">
      <c r="A94" s="6" t="s">
        <v>204</v>
      </c>
      <c r="B94" s="6">
        <f>+$B$4</f>
        <v>365.25</v>
      </c>
      <c r="C94" s="52"/>
    </row>
    <row r="95" spans="1:4" x14ac:dyDescent="0.2">
      <c r="A95" s="6" t="s">
        <v>206</v>
      </c>
      <c r="B95" s="34">
        <v>12</v>
      </c>
      <c r="C95" s="52"/>
    </row>
    <row r="96" spans="1:4" x14ac:dyDescent="0.2">
      <c r="A96" s="6" t="s">
        <v>213</v>
      </c>
      <c r="B96" s="17">
        <v>1</v>
      </c>
      <c r="C96" s="52"/>
      <c r="D96" s="109"/>
    </row>
    <row r="97" spans="1:4" x14ac:dyDescent="0.2">
      <c r="A97" s="103" t="s">
        <v>448</v>
      </c>
      <c r="B97" s="34">
        <v>7</v>
      </c>
      <c r="C97" s="52"/>
      <c r="D97" s="109"/>
    </row>
    <row r="98" spans="1:4" x14ac:dyDescent="0.2">
      <c r="A98" s="34" t="s">
        <v>220</v>
      </c>
      <c r="B98" s="51">
        <f>(365.25/12)/(7/5)</f>
        <v>21.741071428571431</v>
      </c>
      <c r="C98" s="6"/>
      <c r="D98" s="109"/>
    </row>
    <row r="99" spans="1:4" x14ac:dyDescent="0.2">
      <c r="A99" s="34" t="s">
        <v>221</v>
      </c>
      <c r="B99" s="6">
        <f>ROUND(+B98*B97,2)</f>
        <v>152.19</v>
      </c>
      <c r="C99" s="6"/>
    </row>
    <row r="100" spans="1:4" x14ac:dyDescent="0.2">
      <c r="A100" s="34" t="s">
        <v>214</v>
      </c>
      <c r="B100" s="52"/>
      <c r="C100" s="18"/>
    </row>
    <row r="101" spans="1:4" x14ac:dyDescent="0.2">
      <c r="A101" s="34" t="s">
        <v>31</v>
      </c>
      <c r="B101" s="52"/>
      <c r="C101" s="18"/>
    </row>
    <row r="102" spans="1:4" x14ac:dyDescent="0.2">
      <c r="A102" s="34" t="s">
        <v>32</v>
      </c>
      <c r="B102" s="52"/>
      <c r="C102" s="18"/>
    </row>
    <row r="103" spans="1:4" x14ac:dyDescent="0.2">
      <c r="A103" s="104" t="s">
        <v>193</v>
      </c>
      <c r="B103" s="52"/>
      <c r="C103" s="105">
        <f>SUM(C100:C102)</f>
        <v>0</v>
      </c>
      <c r="D103" s="88"/>
    </row>
    <row r="104" spans="1:4" x14ac:dyDescent="0.2">
      <c r="A104" s="6" t="s">
        <v>102</v>
      </c>
      <c r="B104" s="106">
        <f>+B3</f>
        <v>220</v>
      </c>
      <c r="C104" s="52"/>
    </row>
    <row r="105" spans="1:4" x14ac:dyDescent="0.2">
      <c r="A105" s="34" t="s">
        <v>215</v>
      </c>
      <c r="B105" s="17">
        <v>0.2</v>
      </c>
      <c r="C105" s="52"/>
    </row>
    <row r="106" spans="1:4" x14ac:dyDescent="0.2">
      <c r="A106" s="34" t="s">
        <v>216</v>
      </c>
      <c r="B106" s="52"/>
      <c r="C106" s="8">
        <f>ROUND((C103/B104)*B105,2)</f>
        <v>0</v>
      </c>
    </row>
    <row r="107" spans="1:4" x14ac:dyDescent="0.2">
      <c r="A107" s="34" t="s">
        <v>223</v>
      </c>
      <c r="B107" s="6">
        <v>60</v>
      </c>
      <c r="C107" s="52"/>
    </row>
    <row r="108" spans="1:4" x14ac:dyDescent="0.2">
      <c r="A108" s="34" t="s">
        <v>222</v>
      </c>
      <c r="B108" s="6">
        <v>52.5</v>
      </c>
      <c r="C108" s="52"/>
    </row>
    <row r="109" spans="1:4" x14ac:dyDescent="0.2">
      <c r="A109" s="34" t="s">
        <v>224</v>
      </c>
      <c r="B109" s="6">
        <f>+B107/B108</f>
        <v>1.1428571428571428</v>
      </c>
      <c r="C109" s="52"/>
    </row>
    <row r="110" spans="1:4" x14ac:dyDescent="0.2">
      <c r="A110" s="34" t="s">
        <v>225</v>
      </c>
      <c r="B110" s="6">
        <f>ROUND(+B109*B99,2)</f>
        <v>173.93</v>
      </c>
      <c r="C110" s="52"/>
    </row>
    <row r="111" spans="1:4" x14ac:dyDescent="0.2">
      <c r="A111" s="34" t="s">
        <v>226</v>
      </c>
      <c r="B111" s="6">
        <f>ROUND(B110-B99,2)</f>
        <v>21.74</v>
      </c>
      <c r="C111" s="53"/>
    </row>
    <row r="112" spans="1:4" x14ac:dyDescent="0.2">
      <c r="A112" s="494" t="s">
        <v>227</v>
      </c>
      <c r="B112" s="494"/>
      <c r="C112" s="71">
        <f>+B111*C106</f>
        <v>0</v>
      </c>
    </row>
    <row r="114" spans="1:3" x14ac:dyDescent="0.2">
      <c r="A114" s="459" t="s">
        <v>233</v>
      </c>
      <c r="B114" s="459"/>
      <c r="C114" s="459"/>
    </row>
    <row r="115" spans="1:3" x14ac:dyDescent="0.2">
      <c r="A115" s="6" t="s">
        <v>204</v>
      </c>
      <c r="B115" s="6">
        <f>+$B$4</f>
        <v>365.25</v>
      </c>
      <c r="C115" s="52"/>
    </row>
    <row r="116" spans="1:3" x14ac:dyDescent="0.2">
      <c r="A116" s="6" t="s">
        <v>206</v>
      </c>
      <c r="B116" s="34">
        <v>12</v>
      </c>
      <c r="C116" s="52"/>
    </row>
    <row r="117" spans="1:3" x14ac:dyDescent="0.2">
      <c r="A117" s="6" t="s">
        <v>213</v>
      </c>
      <c r="B117" s="17">
        <v>1</v>
      </c>
      <c r="C117" s="52"/>
    </row>
    <row r="118" spans="1:3" x14ac:dyDescent="0.2">
      <c r="A118" s="34" t="s">
        <v>234</v>
      </c>
      <c r="B118" s="180">
        <f>+B5</f>
        <v>21.741071428571431</v>
      </c>
      <c r="C118" s="52"/>
    </row>
    <row r="119" spans="1:3" x14ac:dyDescent="0.2">
      <c r="A119" s="205" t="s">
        <v>235</v>
      </c>
      <c r="B119" s="206"/>
      <c r="C119" s="52"/>
    </row>
    <row r="120" spans="1:3" x14ac:dyDescent="0.2">
      <c r="A120" s="6" t="s">
        <v>236</v>
      </c>
      <c r="B120" s="17">
        <v>0.06</v>
      </c>
      <c r="C120" s="52"/>
    </row>
    <row r="121" spans="1:3" x14ac:dyDescent="0.2">
      <c r="A121" s="504" t="s">
        <v>237</v>
      </c>
      <c r="B121" s="505"/>
      <c r="C121" s="45">
        <f>ROUND((B118*(B119*2)-($B$6*B120)),2)</f>
        <v>0</v>
      </c>
    </row>
    <row r="123" spans="1:3" x14ac:dyDescent="0.2">
      <c r="A123" s="459" t="s">
        <v>238</v>
      </c>
      <c r="B123" s="459"/>
      <c r="C123" s="459"/>
    </row>
    <row r="124" spans="1:3" x14ac:dyDescent="0.2">
      <c r="A124" s="6" t="s">
        <v>204</v>
      </c>
      <c r="B124" s="6">
        <f>+$B$4</f>
        <v>365.25</v>
      </c>
      <c r="C124" s="52"/>
    </row>
    <row r="125" spans="1:3" x14ac:dyDescent="0.2">
      <c r="A125" s="6" t="s">
        <v>206</v>
      </c>
      <c r="B125" s="34">
        <v>12</v>
      </c>
      <c r="C125" s="52"/>
    </row>
    <row r="126" spans="1:3" x14ac:dyDescent="0.2">
      <c r="A126" s="6" t="s">
        <v>213</v>
      </c>
      <c r="B126" s="17">
        <v>1</v>
      </c>
      <c r="C126" s="52"/>
    </row>
    <row r="127" spans="1:3" x14ac:dyDescent="0.2">
      <c r="A127" s="34" t="s">
        <v>234</v>
      </c>
      <c r="B127" s="180">
        <f>+B5</f>
        <v>21.741071428571431</v>
      </c>
      <c r="C127" s="52"/>
    </row>
    <row r="128" spans="1:3" x14ac:dyDescent="0.2">
      <c r="A128" s="205" t="s">
        <v>239</v>
      </c>
      <c r="B128" s="206"/>
      <c r="C128" s="52"/>
    </row>
    <row r="129" spans="1:3" x14ac:dyDescent="0.2">
      <c r="A129" s="6" t="s">
        <v>367</v>
      </c>
      <c r="B129" s="17">
        <v>0.2</v>
      </c>
      <c r="C129" s="52"/>
    </row>
    <row r="130" spans="1:3" x14ac:dyDescent="0.2">
      <c r="A130" s="504" t="s">
        <v>239</v>
      </c>
      <c r="B130" s="505"/>
      <c r="C130" s="45">
        <f>ROUND((B127*(B128)-((B127*B128)*B129)),2)</f>
        <v>0</v>
      </c>
    </row>
    <row r="132" spans="1:3" x14ac:dyDescent="0.2">
      <c r="A132" s="459" t="s">
        <v>240</v>
      </c>
      <c r="B132" s="459"/>
      <c r="C132" s="459"/>
    </row>
    <row r="133" spans="1:3" x14ac:dyDescent="0.2">
      <c r="A133" s="6" t="s">
        <v>242</v>
      </c>
      <c r="B133" s="18">
        <f>+B7</f>
        <v>0</v>
      </c>
      <c r="C133" s="52"/>
    </row>
    <row r="134" spans="1:3" x14ac:dyDescent="0.2">
      <c r="A134" s="6" t="s">
        <v>243</v>
      </c>
      <c r="B134" s="6">
        <v>12</v>
      </c>
      <c r="C134" s="52"/>
    </row>
    <row r="135" spans="1:3" x14ac:dyDescent="0.2">
      <c r="A135" s="116" t="s">
        <v>244</v>
      </c>
      <c r="B135" s="114"/>
      <c r="C135" s="52"/>
    </row>
    <row r="136" spans="1:3" x14ac:dyDescent="0.2">
      <c r="A136" s="494" t="s">
        <v>245</v>
      </c>
      <c r="B136" s="494"/>
      <c r="C136" s="45">
        <f>ROUND(+(B133/B134)*B135,2)</f>
        <v>0</v>
      </c>
    </row>
    <row r="138" spans="1:3" x14ac:dyDescent="0.2">
      <c r="A138" s="507" t="s">
        <v>246</v>
      </c>
      <c r="B138" s="508"/>
      <c r="C138" s="509"/>
    </row>
    <row r="139" spans="1:3" s="60" customFormat="1" x14ac:dyDescent="0.2">
      <c r="A139" s="117" t="s">
        <v>251</v>
      </c>
      <c r="B139" s="114">
        <f>+B135</f>
        <v>0</v>
      </c>
      <c r="C139" s="52"/>
    </row>
    <row r="140" spans="1:3" x14ac:dyDescent="0.2">
      <c r="A140" s="6" t="s">
        <v>247</v>
      </c>
      <c r="B140" s="18">
        <f>+'Vigilante 44h Arm'!$D$25</f>
        <v>0</v>
      </c>
      <c r="C140" s="52"/>
    </row>
    <row r="141" spans="1:3" x14ac:dyDescent="0.2">
      <c r="A141" s="6" t="s">
        <v>46</v>
      </c>
      <c r="B141" s="18">
        <f>+'Vigilante 44h Arm'!$D$31</f>
        <v>0</v>
      </c>
      <c r="C141" s="52"/>
    </row>
    <row r="142" spans="1:3" x14ac:dyDescent="0.2">
      <c r="A142" s="111" t="s">
        <v>45</v>
      </c>
      <c r="B142" s="18">
        <f>+'Vigilante 44h Arm'!$D$33</f>
        <v>0</v>
      </c>
      <c r="C142" s="52"/>
    </row>
    <row r="143" spans="1:3" x14ac:dyDescent="0.2">
      <c r="A143" s="111" t="s">
        <v>44</v>
      </c>
      <c r="B143" s="18">
        <f>+'Vigilante 44h Arm'!$D$34</f>
        <v>0</v>
      </c>
      <c r="C143" s="52"/>
    </row>
    <row r="144" spans="1:3" x14ac:dyDescent="0.2">
      <c r="A144" s="104" t="s">
        <v>248</v>
      </c>
      <c r="B144" s="105">
        <f>SUM(B140:B143)</f>
        <v>0</v>
      </c>
      <c r="C144" s="52"/>
    </row>
    <row r="145" spans="1:3" x14ac:dyDescent="0.2">
      <c r="A145" s="25" t="s">
        <v>249</v>
      </c>
      <c r="B145" s="17">
        <v>0.4</v>
      </c>
      <c r="C145" s="52"/>
    </row>
    <row r="146" spans="1:3" x14ac:dyDescent="0.2">
      <c r="A146" s="25" t="s">
        <v>250</v>
      </c>
      <c r="B146" s="17">
        <f>+'Vigilante 44h Arm'!$C$46</f>
        <v>0.08</v>
      </c>
      <c r="C146" s="52"/>
    </row>
    <row r="147" spans="1:3" x14ac:dyDescent="0.2">
      <c r="A147" s="510" t="s">
        <v>252</v>
      </c>
      <c r="B147" s="510"/>
      <c r="C147" s="73">
        <f>ROUND(+B144*B145*B146*B139,2)</f>
        <v>0</v>
      </c>
    </row>
    <row r="148" spans="1:3" x14ac:dyDescent="0.2">
      <c r="A148" s="25" t="s">
        <v>253</v>
      </c>
      <c r="B148" s="17">
        <v>0.1</v>
      </c>
      <c r="C148" s="52"/>
    </row>
    <row r="149" spans="1:3" x14ac:dyDescent="0.2">
      <c r="A149" s="510" t="s">
        <v>254</v>
      </c>
      <c r="B149" s="510"/>
      <c r="C149" s="112">
        <f>ROUND(B148*B146*B144*B139,2)</f>
        <v>0</v>
      </c>
    </row>
    <row r="150" spans="1:3" x14ac:dyDescent="0.2">
      <c r="A150" s="504" t="s">
        <v>255</v>
      </c>
      <c r="B150" s="505"/>
      <c r="C150" s="71">
        <f>+C149+C147</f>
        <v>0</v>
      </c>
    </row>
    <row r="152" spans="1:3" x14ac:dyDescent="0.2">
      <c r="A152" s="459" t="s">
        <v>256</v>
      </c>
      <c r="B152" s="459"/>
      <c r="C152" s="459"/>
    </row>
    <row r="153" spans="1:3" x14ac:dyDescent="0.2">
      <c r="A153" s="6" t="s">
        <v>242</v>
      </c>
      <c r="B153" s="18">
        <f>+B7</f>
        <v>0</v>
      </c>
      <c r="C153" s="52"/>
    </row>
    <row r="154" spans="1:3" x14ac:dyDescent="0.2">
      <c r="A154" s="6" t="s">
        <v>257</v>
      </c>
      <c r="B154" s="113">
        <v>30</v>
      </c>
      <c r="C154" s="52"/>
    </row>
    <row r="155" spans="1:3" x14ac:dyDescent="0.2">
      <c r="A155" s="6" t="s">
        <v>243</v>
      </c>
      <c r="B155" s="6">
        <v>12</v>
      </c>
      <c r="C155" s="52"/>
    </row>
    <row r="156" spans="1:3" x14ac:dyDescent="0.2">
      <c r="A156" s="6" t="s">
        <v>258</v>
      </c>
      <c r="B156" s="6">
        <v>5</v>
      </c>
      <c r="C156" s="52"/>
    </row>
    <row r="157" spans="1:3" x14ac:dyDescent="0.2">
      <c r="A157" s="116" t="s">
        <v>294</v>
      </c>
      <c r="B157" s="114"/>
      <c r="C157" s="52"/>
    </row>
    <row r="158" spans="1:3" x14ac:dyDescent="0.2">
      <c r="A158" s="494" t="s">
        <v>369</v>
      </c>
      <c r="B158" s="494"/>
      <c r="C158" s="45">
        <f>+ROUND(((B153/B154/B155)*B156)*B157,2)</f>
        <v>0</v>
      </c>
    </row>
    <row r="160" spans="1:3" x14ac:dyDescent="0.2">
      <c r="A160" s="507" t="s">
        <v>259</v>
      </c>
      <c r="B160" s="508"/>
      <c r="C160" s="509"/>
    </row>
    <row r="161" spans="1:3" x14ac:dyDescent="0.2">
      <c r="A161" s="115" t="s">
        <v>260</v>
      </c>
      <c r="B161" s="114">
        <f>+B157</f>
        <v>0</v>
      </c>
      <c r="C161" s="52"/>
    </row>
    <row r="162" spans="1:3" x14ac:dyDescent="0.2">
      <c r="A162" s="6" t="s">
        <v>247</v>
      </c>
      <c r="B162" s="18">
        <f>+'Vigilante 44h Arm'!$D$25</f>
        <v>0</v>
      </c>
      <c r="C162" s="52"/>
    </row>
    <row r="163" spans="1:3" x14ac:dyDescent="0.2">
      <c r="A163" s="6" t="s">
        <v>46</v>
      </c>
      <c r="B163" s="18">
        <f>+'Vigilante 44h Arm'!$D$31</f>
        <v>0</v>
      </c>
      <c r="C163" s="52"/>
    </row>
    <row r="164" spans="1:3" x14ac:dyDescent="0.2">
      <c r="A164" s="111" t="s">
        <v>45</v>
      </c>
      <c r="B164" s="18">
        <f>+'Vigilante 44h Arm'!$D$33</f>
        <v>0</v>
      </c>
      <c r="C164" s="52"/>
    </row>
    <row r="165" spans="1:3" x14ac:dyDescent="0.2">
      <c r="A165" s="111" t="s">
        <v>44</v>
      </c>
      <c r="B165" s="18">
        <f>+'Vigilante 44h Arm'!$D$34</f>
        <v>0</v>
      </c>
      <c r="C165" s="52"/>
    </row>
    <row r="166" spans="1:3" x14ac:dyDescent="0.2">
      <c r="A166" s="104" t="s">
        <v>248</v>
      </c>
      <c r="B166" s="105">
        <f>SUM(B162:B165)</f>
        <v>0</v>
      </c>
      <c r="C166" s="52"/>
    </row>
    <row r="167" spans="1:3" x14ac:dyDescent="0.2">
      <c r="A167" s="25" t="s">
        <v>249</v>
      </c>
      <c r="B167" s="17">
        <v>0.4</v>
      </c>
      <c r="C167" s="52"/>
    </row>
    <row r="168" spans="1:3" x14ac:dyDescent="0.2">
      <c r="A168" s="25" t="s">
        <v>250</v>
      </c>
      <c r="B168" s="17">
        <f>+'Vigilante 44h Arm'!$C$46</f>
        <v>0.08</v>
      </c>
      <c r="C168" s="52"/>
    </row>
    <row r="169" spans="1:3" x14ac:dyDescent="0.2">
      <c r="A169" s="510" t="s">
        <v>252</v>
      </c>
      <c r="B169" s="510"/>
      <c r="C169" s="73">
        <f>ROUND(+B166*B167*B168*B161,2)</f>
        <v>0</v>
      </c>
    </row>
    <row r="170" spans="1:3" x14ac:dyDescent="0.2">
      <c r="A170" s="25" t="s">
        <v>253</v>
      </c>
      <c r="B170" s="17">
        <v>0.1</v>
      </c>
      <c r="C170" s="52"/>
    </row>
    <row r="171" spans="1:3" x14ac:dyDescent="0.2">
      <c r="A171" s="510" t="s">
        <v>254</v>
      </c>
      <c r="B171" s="510"/>
      <c r="C171" s="112">
        <f>ROUND(B170*B168*B166*B161,2)</f>
        <v>0</v>
      </c>
    </row>
    <row r="172" spans="1:3" x14ac:dyDescent="0.2">
      <c r="A172" s="504" t="s">
        <v>385</v>
      </c>
      <c r="B172" s="505"/>
      <c r="C172" s="71">
        <f>+C171+C169</f>
        <v>0</v>
      </c>
    </row>
    <row r="174" spans="1:3" x14ac:dyDescent="0.2">
      <c r="A174" s="507" t="s">
        <v>262</v>
      </c>
      <c r="B174" s="508"/>
      <c r="C174" s="509"/>
    </row>
    <row r="175" spans="1:3" ht="14.25" customHeight="1" x14ac:dyDescent="0.2">
      <c r="A175" s="511" t="s">
        <v>358</v>
      </c>
      <c r="B175" s="511"/>
      <c r="C175" s="511"/>
    </row>
    <row r="176" spans="1:3" x14ac:dyDescent="0.2">
      <c r="A176" s="511"/>
      <c r="B176" s="511"/>
      <c r="C176" s="511"/>
    </row>
    <row r="177" spans="1:3" x14ac:dyDescent="0.2">
      <c r="A177" s="511"/>
      <c r="B177" s="511"/>
      <c r="C177" s="511"/>
    </row>
    <row r="178" spans="1:3" x14ac:dyDescent="0.2">
      <c r="A178" s="511"/>
      <c r="B178" s="511"/>
      <c r="C178" s="511"/>
    </row>
    <row r="179" spans="1:3" x14ac:dyDescent="0.2">
      <c r="A179" s="119"/>
      <c r="B179" s="119"/>
      <c r="C179" s="119"/>
    </row>
    <row r="180" spans="1:3" x14ac:dyDescent="0.2">
      <c r="A180" s="512" t="s">
        <v>261</v>
      </c>
      <c r="B180" s="512"/>
      <c r="C180" s="512"/>
    </row>
    <row r="181" spans="1:3" x14ac:dyDescent="0.2">
      <c r="A181" s="6" t="s">
        <v>263</v>
      </c>
      <c r="B181" s="18">
        <f>+$B$7</f>
        <v>0</v>
      </c>
      <c r="C181" s="52"/>
    </row>
    <row r="182" spans="1:3" x14ac:dyDescent="0.2">
      <c r="A182" s="6" t="s">
        <v>206</v>
      </c>
      <c r="B182" s="6">
        <v>30</v>
      </c>
      <c r="C182" s="52"/>
    </row>
    <row r="183" spans="1:3" x14ac:dyDescent="0.2">
      <c r="A183" s="6" t="s">
        <v>264</v>
      </c>
      <c r="B183" s="6">
        <v>12</v>
      </c>
      <c r="C183" s="52"/>
    </row>
    <row r="184" spans="1:3" x14ac:dyDescent="0.2">
      <c r="A184" s="116" t="s">
        <v>265</v>
      </c>
      <c r="B184" s="116"/>
      <c r="C184" s="52"/>
    </row>
    <row r="185" spans="1:3" x14ac:dyDescent="0.2">
      <c r="A185" s="494" t="s">
        <v>266</v>
      </c>
      <c r="B185" s="494"/>
      <c r="C185" s="24">
        <f>+ROUND((B181/B182/B183)*B184,2)</f>
        <v>0</v>
      </c>
    </row>
    <row r="187" spans="1:3" x14ac:dyDescent="0.2">
      <c r="A187" s="512" t="s">
        <v>269</v>
      </c>
      <c r="B187" s="512"/>
      <c r="C187" s="512"/>
    </row>
    <row r="188" spans="1:3" x14ac:dyDescent="0.2">
      <c r="A188" s="6" t="s">
        <v>263</v>
      </c>
      <c r="B188" s="18">
        <f>+$B$7</f>
        <v>0</v>
      </c>
      <c r="C188" s="52"/>
    </row>
    <row r="189" spans="1:3" x14ac:dyDescent="0.2">
      <c r="A189" s="6" t="s">
        <v>206</v>
      </c>
      <c r="B189" s="6">
        <v>30</v>
      </c>
      <c r="C189" s="52"/>
    </row>
    <row r="190" spans="1:3" x14ac:dyDescent="0.2">
      <c r="A190" s="6" t="s">
        <v>264</v>
      </c>
      <c r="B190" s="6">
        <v>12</v>
      </c>
      <c r="C190" s="52"/>
    </row>
    <row r="191" spans="1:3" x14ac:dyDescent="0.2">
      <c r="A191" s="34" t="s">
        <v>267</v>
      </c>
      <c r="B191" s="6">
        <v>5</v>
      </c>
      <c r="C191" s="52"/>
    </row>
    <row r="192" spans="1:3" x14ac:dyDescent="0.2">
      <c r="A192" s="116" t="s">
        <v>268</v>
      </c>
      <c r="B192" s="114"/>
      <c r="C192" s="52"/>
    </row>
    <row r="193" spans="1:3" x14ac:dyDescent="0.2">
      <c r="A193" s="116" t="s">
        <v>270</v>
      </c>
      <c r="B193" s="114"/>
      <c r="C193" s="52"/>
    </row>
    <row r="194" spans="1:3" x14ac:dyDescent="0.2">
      <c r="A194" s="494" t="s">
        <v>271</v>
      </c>
      <c r="B194" s="494"/>
      <c r="C194" s="45">
        <f>ROUND(+B188/B189/B190*B191*B192*B193,2)</f>
        <v>0</v>
      </c>
    </row>
    <row r="196" spans="1:3" x14ac:dyDescent="0.2">
      <c r="A196" s="512" t="s">
        <v>272</v>
      </c>
      <c r="B196" s="512"/>
      <c r="C196" s="512"/>
    </row>
    <row r="197" spans="1:3" x14ac:dyDescent="0.2">
      <c r="A197" s="6" t="s">
        <v>263</v>
      </c>
      <c r="B197" s="18">
        <f>+$B$7</f>
        <v>0</v>
      </c>
      <c r="C197" s="52"/>
    </row>
    <row r="198" spans="1:3" x14ac:dyDescent="0.2">
      <c r="A198" s="6" t="s">
        <v>206</v>
      </c>
      <c r="B198" s="6">
        <v>30</v>
      </c>
      <c r="C198" s="52"/>
    </row>
    <row r="199" spans="1:3" x14ac:dyDescent="0.2">
      <c r="A199" s="6" t="s">
        <v>264</v>
      </c>
      <c r="B199" s="6">
        <v>12</v>
      </c>
      <c r="C199" s="52"/>
    </row>
    <row r="200" spans="1:3" x14ac:dyDescent="0.2">
      <c r="A200" s="34" t="s">
        <v>273</v>
      </c>
      <c r="B200" s="6">
        <v>15</v>
      </c>
      <c r="C200" s="52"/>
    </row>
    <row r="201" spans="1:3" x14ac:dyDescent="0.2">
      <c r="A201" s="116" t="s">
        <v>274</v>
      </c>
      <c r="B201" s="114"/>
      <c r="C201" s="52"/>
    </row>
    <row r="202" spans="1:3" x14ac:dyDescent="0.2">
      <c r="A202" s="494" t="s">
        <v>370</v>
      </c>
      <c r="B202" s="494"/>
      <c r="C202" s="45">
        <f>ROUND(+B197/B198/B199*B200*B201,2)</f>
        <v>0</v>
      </c>
    </row>
    <row r="204" spans="1:3" x14ac:dyDescent="0.2">
      <c r="A204" s="512" t="s">
        <v>275</v>
      </c>
      <c r="B204" s="512"/>
      <c r="C204" s="512"/>
    </row>
    <row r="205" spans="1:3" x14ac:dyDescent="0.2">
      <c r="A205" s="6" t="s">
        <v>263</v>
      </c>
      <c r="B205" s="18">
        <f>+$B$7</f>
        <v>0</v>
      </c>
      <c r="C205" s="52"/>
    </row>
    <row r="206" spans="1:3" x14ac:dyDescent="0.2">
      <c r="A206" s="6" t="s">
        <v>206</v>
      </c>
      <c r="B206" s="6">
        <v>30</v>
      </c>
      <c r="C206" s="52"/>
    </row>
    <row r="207" spans="1:3" x14ac:dyDescent="0.2">
      <c r="A207" s="6" t="s">
        <v>264</v>
      </c>
      <c r="B207" s="6">
        <v>12</v>
      </c>
      <c r="C207" s="52"/>
    </row>
    <row r="208" spans="1:3" x14ac:dyDescent="0.2">
      <c r="A208" s="34" t="s">
        <v>273</v>
      </c>
      <c r="B208" s="6">
        <v>5</v>
      </c>
      <c r="C208" s="52"/>
    </row>
    <row r="209" spans="1:3" x14ac:dyDescent="0.2">
      <c r="A209" s="116" t="s">
        <v>276</v>
      </c>
      <c r="B209" s="114"/>
      <c r="C209" s="52"/>
    </row>
    <row r="210" spans="1:3" x14ac:dyDescent="0.2">
      <c r="A210" s="494" t="s">
        <v>371</v>
      </c>
      <c r="B210" s="494"/>
      <c r="C210" s="45">
        <f>ROUND(+B205/B206/B207*B208*B209,2)</f>
        <v>0</v>
      </c>
    </row>
    <row r="212" spans="1:3" x14ac:dyDescent="0.2">
      <c r="A212" s="459" t="s">
        <v>108</v>
      </c>
      <c r="B212" s="459"/>
      <c r="C212" s="459"/>
    </row>
    <row r="213" spans="1:3" x14ac:dyDescent="0.2">
      <c r="A213" s="83" t="s">
        <v>23</v>
      </c>
      <c r="B213" s="87"/>
      <c r="C213" s="18">
        <f>+'Vigilante 44h Arm'!D25-'Vigilante 44h Arm'!D22</f>
        <v>0</v>
      </c>
    </row>
    <row r="214" spans="1:3" x14ac:dyDescent="0.2">
      <c r="A214" s="83" t="s">
        <v>68</v>
      </c>
      <c r="B214" s="87"/>
      <c r="C214" s="18">
        <f>+'Vigilante 44h Arm'!D70</f>
        <v>0</v>
      </c>
    </row>
    <row r="215" spans="1:3" x14ac:dyDescent="0.2">
      <c r="A215" s="83" t="s">
        <v>153</v>
      </c>
      <c r="B215" s="87"/>
      <c r="C215" s="18">
        <f>+'Vigilante 44h Arm'!D118</f>
        <v>0</v>
      </c>
    </row>
    <row r="216" spans="1:3" x14ac:dyDescent="0.2">
      <c r="A216" s="83" t="s">
        <v>86</v>
      </c>
      <c r="B216" s="87"/>
      <c r="C216" s="18">
        <f>+'Vigilante 44h Arm'!D109</f>
        <v>0</v>
      </c>
    </row>
    <row r="217" spans="1:3" x14ac:dyDescent="0.2">
      <c r="A217" s="83" t="s">
        <v>92</v>
      </c>
      <c r="B217" s="87"/>
      <c r="C217" s="18">
        <f>+'Vigilante 44h Arm'!D110</f>
        <v>0</v>
      </c>
    </row>
    <row r="218" spans="1:3" x14ac:dyDescent="0.2">
      <c r="A218" s="83" t="s">
        <v>70</v>
      </c>
      <c r="B218" s="87"/>
      <c r="C218" s="18">
        <f>+'Vigilante 44h Arm'!D81</f>
        <v>0</v>
      </c>
    </row>
    <row r="219" spans="1:3" x14ac:dyDescent="0.2">
      <c r="A219" s="83" t="s">
        <v>193</v>
      </c>
      <c r="B219" s="87"/>
      <c r="C219" s="18">
        <f>SUM(C213:C218)</f>
        <v>0</v>
      </c>
    </row>
    <row r="220" spans="1:3" x14ac:dyDescent="0.2">
      <c r="A220" s="83" t="s">
        <v>102</v>
      </c>
      <c r="B220" s="84">
        <v>220</v>
      </c>
      <c r="C220" s="85"/>
    </row>
    <row r="221" spans="1:3" x14ac:dyDescent="0.2">
      <c r="A221" s="83" t="s">
        <v>103</v>
      </c>
      <c r="B221" s="87"/>
      <c r="C221" s="18">
        <f>ROUND(C219/B220,2)</f>
        <v>0</v>
      </c>
    </row>
    <row r="222" spans="1:3" x14ac:dyDescent="0.2">
      <c r="A222" s="6" t="s">
        <v>104</v>
      </c>
      <c r="B222" s="51">
        <f>+B5</f>
        <v>21.741071428571431</v>
      </c>
      <c r="C222" s="58"/>
    </row>
    <row r="223" spans="1:3" x14ac:dyDescent="0.2">
      <c r="A223" s="504" t="s">
        <v>106</v>
      </c>
      <c r="B223" s="505"/>
      <c r="C223" s="71">
        <f>ROUND(+B222*C221,2)</f>
        <v>0</v>
      </c>
    </row>
    <row r="225" spans="1:3" x14ac:dyDescent="0.2">
      <c r="A225" s="512" t="s">
        <v>277</v>
      </c>
      <c r="B225" s="512"/>
      <c r="C225" s="512"/>
    </row>
    <row r="226" spans="1:3" x14ac:dyDescent="0.2">
      <c r="A226" s="513" t="s">
        <v>282</v>
      </c>
      <c r="B226" s="514"/>
      <c r="C226" s="515"/>
    </row>
    <row r="227" spans="1:3" x14ac:dyDescent="0.2">
      <c r="A227" s="6" t="s">
        <v>263</v>
      </c>
      <c r="B227" s="18">
        <f>+$B$7</f>
        <v>0</v>
      </c>
      <c r="C227" s="52"/>
    </row>
    <row r="228" spans="1:3" x14ac:dyDescent="0.2">
      <c r="A228" s="6" t="s">
        <v>281</v>
      </c>
      <c r="B228" s="18">
        <f>+B227*(1/3)</f>
        <v>0</v>
      </c>
      <c r="C228" s="52"/>
    </row>
    <row r="229" spans="1:3" x14ac:dyDescent="0.2">
      <c r="A229" s="104" t="s">
        <v>248</v>
      </c>
      <c r="B229" s="105">
        <f>SUM(B227:B228)</f>
        <v>0</v>
      </c>
      <c r="C229" s="52"/>
    </row>
    <row r="230" spans="1:3" x14ac:dyDescent="0.2">
      <c r="A230" s="6" t="s">
        <v>278</v>
      </c>
      <c r="B230" s="6">
        <v>4</v>
      </c>
      <c r="C230" s="52"/>
    </row>
    <row r="231" spans="1:3" x14ac:dyDescent="0.2">
      <c r="A231" s="6" t="s">
        <v>264</v>
      </c>
      <c r="B231" s="6">
        <v>12</v>
      </c>
      <c r="C231" s="52"/>
    </row>
    <row r="232" spans="1:3" x14ac:dyDescent="0.2">
      <c r="A232" s="116" t="s">
        <v>279</v>
      </c>
      <c r="B232" s="114"/>
      <c r="C232" s="52"/>
    </row>
    <row r="233" spans="1:3" x14ac:dyDescent="0.2">
      <c r="A233" s="116" t="s">
        <v>280</v>
      </c>
      <c r="B233" s="114"/>
      <c r="C233" s="52"/>
    </row>
    <row r="234" spans="1:3" x14ac:dyDescent="0.2">
      <c r="A234" s="494" t="s">
        <v>283</v>
      </c>
      <c r="B234" s="494"/>
      <c r="C234" s="45">
        <f>ROUND((((+B229*(B230/B231)/B231)*B232)*B233),2)</f>
        <v>0</v>
      </c>
    </row>
    <row r="235" spans="1:3" x14ac:dyDescent="0.2">
      <c r="A235" s="494" t="s">
        <v>284</v>
      </c>
      <c r="B235" s="494"/>
      <c r="C235" s="494"/>
    </row>
    <row r="236" spans="1:3" x14ac:dyDescent="0.2">
      <c r="A236" s="6" t="s">
        <v>263</v>
      </c>
      <c r="B236" s="18">
        <f>+'Vigilante 44h Arm'!D25</f>
        <v>0</v>
      </c>
      <c r="C236" s="52"/>
    </row>
    <row r="237" spans="1:3" x14ac:dyDescent="0.2">
      <c r="A237" s="6" t="s">
        <v>46</v>
      </c>
      <c r="B237" s="18">
        <f>+'Vigilante 44h Arm'!D31</f>
        <v>0</v>
      </c>
      <c r="C237" s="52"/>
    </row>
    <row r="238" spans="1:3" x14ac:dyDescent="0.2">
      <c r="A238" s="104" t="s">
        <v>248</v>
      </c>
      <c r="B238" s="105">
        <f>SUM(B236:B237)</f>
        <v>0</v>
      </c>
      <c r="C238" s="52"/>
    </row>
    <row r="239" spans="1:3" x14ac:dyDescent="0.2">
      <c r="A239" s="6" t="s">
        <v>278</v>
      </c>
      <c r="B239" s="6">
        <v>4</v>
      </c>
      <c r="C239" s="52"/>
    </row>
    <row r="240" spans="1:3" x14ac:dyDescent="0.2">
      <c r="A240" s="6" t="s">
        <v>264</v>
      </c>
      <c r="B240" s="6">
        <v>12</v>
      </c>
      <c r="C240" s="52"/>
    </row>
    <row r="241" spans="1:3" x14ac:dyDescent="0.2">
      <c r="A241" s="116" t="s">
        <v>279</v>
      </c>
      <c r="B241" s="114"/>
      <c r="C241" s="52"/>
    </row>
    <row r="242" spans="1:3" x14ac:dyDescent="0.2">
      <c r="A242" s="116" t="s">
        <v>280</v>
      </c>
      <c r="B242" s="114"/>
      <c r="C242" s="52"/>
    </row>
    <row r="243" spans="1:3" x14ac:dyDescent="0.2">
      <c r="A243" s="34" t="s">
        <v>285</v>
      </c>
      <c r="B243" s="17">
        <f>+'Vigilante 44h Arm'!C47</f>
        <v>0.36800000000000005</v>
      </c>
      <c r="C243" s="52"/>
    </row>
    <row r="244" spans="1:3" x14ac:dyDescent="0.2">
      <c r="A244" s="494" t="s">
        <v>286</v>
      </c>
      <c r="B244" s="494"/>
      <c r="C244" s="71">
        <f>ROUND((((B238*(B239/B240)*B241)*B242)*B243),2)</f>
        <v>0</v>
      </c>
    </row>
  </sheetData>
  <mergeCells count="45">
    <mergeCell ref="A112:B112"/>
    <mergeCell ref="A1:C1"/>
    <mergeCell ref="A9:C9"/>
    <mergeCell ref="A26:B26"/>
    <mergeCell ref="A28:C28"/>
    <mergeCell ref="A39:C39"/>
    <mergeCell ref="A52:C52"/>
    <mergeCell ref="A65:B65"/>
    <mergeCell ref="A67:C67"/>
    <mergeCell ref="A80:B80"/>
    <mergeCell ref="A82:C82"/>
    <mergeCell ref="A93:C93"/>
    <mergeCell ref="A158:B158"/>
    <mergeCell ref="A114:C114"/>
    <mergeCell ref="A121:B121"/>
    <mergeCell ref="A123:C123"/>
    <mergeCell ref="A130:B130"/>
    <mergeCell ref="A132:C132"/>
    <mergeCell ref="A136:B136"/>
    <mergeCell ref="A138:C138"/>
    <mergeCell ref="A147:B147"/>
    <mergeCell ref="A149:B149"/>
    <mergeCell ref="A150:B150"/>
    <mergeCell ref="A152:C152"/>
    <mergeCell ref="A202:B202"/>
    <mergeCell ref="A160:C160"/>
    <mergeCell ref="A169:B169"/>
    <mergeCell ref="A171:B171"/>
    <mergeCell ref="A172:B172"/>
    <mergeCell ref="A174:C174"/>
    <mergeCell ref="A175:C178"/>
    <mergeCell ref="A180:C180"/>
    <mergeCell ref="A185:B185"/>
    <mergeCell ref="A187:C187"/>
    <mergeCell ref="A194:B194"/>
    <mergeCell ref="A196:C196"/>
    <mergeCell ref="A234:B234"/>
    <mergeCell ref="A235:C235"/>
    <mergeCell ref="A244:B244"/>
    <mergeCell ref="A204:C204"/>
    <mergeCell ref="A210:B210"/>
    <mergeCell ref="A212:C212"/>
    <mergeCell ref="A223:B223"/>
    <mergeCell ref="A225:C225"/>
    <mergeCell ref="A226:C226"/>
  </mergeCells>
  <pageMargins left="0.9055118110236221" right="0.11811023622047245" top="0.35433070866141736" bottom="0.59055118110236227" header="0.31496062992125984" footer="0.31496062992125984"/>
  <pageSetup paperSize="9" scale="90" orientation="portrait" r:id="rId1"/>
  <headerFooter>
    <oddFooter>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N35"/>
  <sheetViews>
    <sheetView workbookViewId="0">
      <selection activeCell="E35" sqref="E35:I35"/>
    </sheetView>
  </sheetViews>
  <sheetFormatPr defaultRowHeight="12.75" x14ac:dyDescent="0.2"/>
  <cols>
    <col min="1" max="1" width="4.5" customWidth="1"/>
    <col min="2" max="2" width="31.125" customWidth="1"/>
    <col min="3" max="3" width="8.75" bestFit="1" customWidth="1"/>
    <col min="4" max="4" width="7.875" customWidth="1"/>
    <col min="5" max="5" width="12.75" customWidth="1"/>
    <col min="6" max="6" width="19.25" customWidth="1"/>
    <col min="7" max="7" width="8" bestFit="1" customWidth="1"/>
    <col min="8" max="8" width="12.375" customWidth="1"/>
    <col min="9" max="9" width="13.125" customWidth="1"/>
    <col min="10" max="10" width="13" customWidth="1"/>
    <col min="11" max="11" width="16.375" customWidth="1"/>
    <col min="12" max="15" width="18.625" customWidth="1"/>
  </cols>
  <sheetData>
    <row r="1" spans="1:13" ht="15" x14ac:dyDescent="0.25">
      <c r="A1" s="425" t="s">
        <v>389</v>
      </c>
      <c r="B1" s="425"/>
      <c r="C1" s="425"/>
      <c r="D1" s="425"/>
      <c r="E1" s="425"/>
      <c r="F1" s="425"/>
      <c r="G1" s="425"/>
      <c r="H1" s="425"/>
      <c r="I1" s="425"/>
      <c r="J1" s="425"/>
      <c r="K1" s="425"/>
      <c r="L1" s="425"/>
      <c r="M1" s="425"/>
    </row>
    <row r="2" spans="1:13" ht="36.75" customHeight="1" thickBot="1" x14ac:dyDescent="0.25">
      <c r="A2" s="423" t="s">
        <v>308</v>
      </c>
      <c r="B2" s="424"/>
      <c r="C2" s="215"/>
      <c r="D2" s="219" t="s">
        <v>309</v>
      </c>
      <c r="E2" s="219" t="s">
        <v>310</v>
      </c>
      <c r="F2" s="219" t="s">
        <v>311</v>
      </c>
      <c r="G2" s="219" t="s">
        <v>319</v>
      </c>
      <c r="H2" s="220" t="s">
        <v>312</v>
      </c>
      <c r="I2" s="216" t="s">
        <v>382</v>
      </c>
      <c r="J2" s="216" t="s">
        <v>324</v>
      </c>
      <c r="K2" s="216" t="s">
        <v>383</v>
      </c>
      <c r="L2" s="216" t="s">
        <v>384</v>
      </c>
      <c r="M2" s="216" t="s">
        <v>323</v>
      </c>
    </row>
    <row r="3" spans="1:13" ht="12.75" customHeight="1" x14ac:dyDescent="0.2">
      <c r="A3" s="438" t="s">
        <v>386</v>
      </c>
      <c r="B3" s="438"/>
      <c r="C3" s="236" t="s">
        <v>313</v>
      </c>
      <c r="D3" s="225" t="s">
        <v>314</v>
      </c>
      <c r="E3" s="225" t="s">
        <v>315</v>
      </c>
      <c r="F3" s="226" t="s">
        <v>316</v>
      </c>
      <c r="G3" s="227">
        <v>2</v>
      </c>
      <c r="H3" s="227">
        <f>+G3*2</f>
        <v>4</v>
      </c>
      <c r="I3" s="217">
        <f>+J3*2</f>
        <v>0</v>
      </c>
      <c r="J3" s="257">
        <f>+'Vigilante 12X36 Diurno Des'!$D$153</f>
        <v>0</v>
      </c>
      <c r="K3" s="217">
        <f>+J3*H3</f>
        <v>0</v>
      </c>
      <c r="L3" s="217">
        <f>+K3*12</f>
        <v>0</v>
      </c>
      <c r="M3" s="258"/>
    </row>
    <row r="4" spans="1:13" x14ac:dyDescent="0.2">
      <c r="A4" s="438"/>
      <c r="B4" s="438"/>
      <c r="C4" s="237" t="s">
        <v>318</v>
      </c>
      <c r="D4" s="228" t="s">
        <v>314</v>
      </c>
      <c r="E4" s="228" t="s">
        <v>317</v>
      </c>
      <c r="F4" s="229" t="s">
        <v>316</v>
      </c>
      <c r="G4" s="34">
        <v>2</v>
      </c>
      <c r="H4" s="34">
        <f>+G4*2</f>
        <v>4</v>
      </c>
      <c r="I4" s="8">
        <f>+J4*2</f>
        <v>0</v>
      </c>
      <c r="J4" s="213">
        <f>+'Vigilante 12x36 Noturno Arm'!$D$153</f>
        <v>0</v>
      </c>
      <c r="K4" s="8">
        <f t="shared" ref="K4:K11" si="0">+J4*H4</f>
        <v>0</v>
      </c>
      <c r="L4" s="8">
        <f t="shared" ref="L4:L12" si="1">+K4*12</f>
        <v>0</v>
      </c>
      <c r="M4" s="259"/>
    </row>
    <row r="5" spans="1:13" ht="13.5" thickBot="1" x14ac:dyDescent="0.25">
      <c r="A5" s="438"/>
      <c r="B5" s="438"/>
      <c r="C5" s="239" t="s">
        <v>313</v>
      </c>
      <c r="D5" s="233" t="s">
        <v>374</v>
      </c>
      <c r="E5" s="233" t="s">
        <v>375</v>
      </c>
      <c r="F5" s="234" t="s">
        <v>340</v>
      </c>
      <c r="G5" s="235">
        <v>2</v>
      </c>
      <c r="H5" s="235">
        <f>+G5*1</f>
        <v>2</v>
      </c>
      <c r="I5" s="261">
        <f>+J5</f>
        <v>0</v>
      </c>
      <c r="J5" s="262">
        <f>+'Vigilante 44h Desarm'!$D$155</f>
        <v>0</v>
      </c>
      <c r="K5" s="261">
        <f t="shared" si="0"/>
        <v>0</v>
      </c>
      <c r="L5" s="261">
        <f t="shared" si="1"/>
        <v>0</v>
      </c>
      <c r="M5" s="263">
        <f>+L5+L4+L3</f>
        <v>0</v>
      </c>
    </row>
    <row r="6" spans="1:13" x14ac:dyDescent="0.2">
      <c r="A6" s="439" t="s">
        <v>387</v>
      </c>
      <c r="B6" s="439"/>
      <c r="C6" s="236" t="s">
        <v>313</v>
      </c>
      <c r="D6" s="225" t="s">
        <v>314</v>
      </c>
      <c r="E6" s="225" t="s">
        <v>315</v>
      </c>
      <c r="F6" s="226" t="s">
        <v>316</v>
      </c>
      <c r="G6" s="227">
        <v>1</v>
      </c>
      <c r="H6" s="227">
        <f>+G6*2</f>
        <v>2</v>
      </c>
      <c r="I6" s="217">
        <f>+J6*2</f>
        <v>0</v>
      </c>
      <c r="J6" s="257">
        <f>+'Vigilante 12X36 Diurno Des'!$D$153</f>
        <v>0</v>
      </c>
      <c r="K6" s="217">
        <f t="shared" si="0"/>
        <v>0</v>
      </c>
      <c r="L6" s="217">
        <f t="shared" si="1"/>
        <v>0</v>
      </c>
      <c r="M6" s="258"/>
    </row>
    <row r="7" spans="1:13" x14ac:dyDescent="0.2">
      <c r="A7" s="439"/>
      <c r="B7" s="439"/>
      <c r="C7" s="237" t="s">
        <v>313</v>
      </c>
      <c r="D7" s="228" t="s">
        <v>314</v>
      </c>
      <c r="E7" s="228" t="s">
        <v>317</v>
      </c>
      <c r="F7" s="229" t="s">
        <v>316</v>
      </c>
      <c r="G7" s="34">
        <v>1</v>
      </c>
      <c r="H7" s="34">
        <f>+G7*2</f>
        <v>2</v>
      </c>
      <c r="I7" s="8">
        <f>+J7*2</f>
        <v>0</v>
      </c>
      <c r="J7" s="213">
        <f>+'Vigilante 12X36 Noturno Des'!$D$155</f>
        <v>0</v>
      </c>
      <c r="K7" s="8">
        <f t="shared" si="0"/>
        <v>0</v>
      </c>
      <c r="L7" s="8">
        <f t="shared" si="1"/>
        <v>0</v>
      </c>
      <c r="M7" s="259"/>
    </row>
    <row r="8" spans="1:13" ht="13.5" thickBot="1" x14ac:dyDescent="0.25">
      <c r="A8" s="439"/>
      <c r="B8" s="439"/>
      <c r="C8" s="239" t="s">
        <v>313</v>
      </c>
      <c r="D8" s="233" t="s">
        <v>376</v>
      </c>
      <c r="E8" s="233" t="s">
        <v>451</v>
      </c>
      <c r="F8" s="234" t="s">
        <v>340</v>
      </c>
      <c r="G8" s="235">
        <v>2</v>
      </c>
      <c r="H8" s="235">
        <f>+G8*1</f>
        <v>2</v>
      </c>
      <c r="I8" s="261">
        <f>+J8</f>
        <v>0</v>
      </c>
      <c r="J8" s="262">
        <f>+'Vigilante 5x2 12h Desar'!$D$154</f>
        <v>0</v>
      </c>
      <c r="K8" s="261">
        <f t="shared" si="0"/>
        <v>0</v>
      </c>
      <c r="L8" s="261">
        <f t="shared" si="1"/>
        <v>0</v>
      </c>
      <c r="M8" s="263">
        <f>+L8+L7+L6</f>
        <v>0</v>
      </c>
    </row>
    <row r="9" spans="1:13" x14ac:dyDescent="0.2">
      <c r="A9" s="439" t="s">
        <v>388</v>
      </c>
      <c r="B9" s="439"/>
      <c r="C9" s="236" t="s">
        <v>313</v>
      </c>
      <c r="D9" s="225" t="s">
        <v>314</v>
      </c>
      <c r="E9" s="225" t="s">
        <v>315</v>
      </c>
      <c r="F9" s="226" t="s">
        <v>316</v>
      </c>
      <c r="G9" s="227">
        <v>4</v>
      </c>
      <c r="H9" s="227">
        <f>+G9*2</f>
        <v>8</v>
      </c>
      <c r="I9" s="217">
        <f>+J9*2</f>
        <v>0</v>
      </c>
      <c r="J9" s="257">
        <f>+'Vigilante 12X36 Diurno Des'!$D$153</f>
        <v>0</v>
      </c>
      <c r="K9" s="217">
        <f t="shared" si="0"/>
        <v>0</v>
      </c>
      <c r="L9" s="217">
        <f t="shared" si="1"/>
        <v>0</v>
      </c>
      <c r="M9" s="258"/>
    </row>
    <row r="10" spans="1:13" x14ac:dyDescent="0.2">
      <c r="A10" s="439"/>
      <c r="B10" s="439"/>
      <c r="C10" s="237" t="s">
        <v>313</v>
      </c>
      <c r="D10" s="228" t="s">
        <v>314</v>
      </c>
      <c r="E10" s="228" t="s">
        <v>317</v>
      </c>
      <c r="F10" s="229" t="s">
        <v>316</v>
      </c>
      <c r="G10" s="34">
        <v>4</v>
      </c>
      <c r="H10" s="34">
        <f>+G10*2</f>
        <v>8</v>
      </c>
      <c r="I10" s="8">
        <f>+J10*2</f>
        <v>0</v>
      </c>
      <c r="J10" s="213">
        <f>+'Vigilante 12X36 Noturno Des'!$D$155</f>
        <v>0</v>
      </c>
      <c r="K10" s="8">
        <f t="shared" si="0"/>
        <v>0</v>
      </c>
      <c r="L10" s="8">
        <f t="shared" si="1"/>
        <v>0</v>
      </c>
      <c r="M10" s="259"/>
    </row>
    <row r="11" spans="1:13" ht="13.5" thickBot="1" x14ac:dyDescent="0.25">
      <c r="A11" s="439"/>
      <c r="B11" s="439"/>
      <c r="C11" s="238" t="s">
        <v>313</v>
      </c>
      <c r="D11" s="230" t="s">
        <v>376</v>
      </c>
      <c r="E11" s="230" t="s">
        <v>451</v>
      </c>
      <c r="F11" s="231" t="s">
        <v>340</v>
      </c>
      <c r="G11" s="232">
        <v>4</v>
      </c>
      <c r="H11" s="232">
        <f>+G11*1</f>
        <v>4</v>
      </c>
      <c r="I11" s="218">
        <f>+J11</f>
        <v>0</v>
      </c>
      <c r="J11" s="260">
        <f>+'Vigilante 5x2 12h Desar'!$D$154</f>
        <v>0</v>
      </c>
      <c r="K11" s="218">
        <f t="shared" si="0"/>
        <v>0</v>
      </c>
      <c r="L11" s="218">
        <f t="shared" si="1"/>
        <v>0</v>
      </c>
      <c r="M11" s="264">
        <f>+L11+L10+L9</f>
        <v>0</v>
      </c>
    </row>
    <row r="12" spans="1:13" ht="13.5" thickBot="1" x14ac:dyDescent="0.25">
      <c r="G12" s="265">
        <f>SUM(G3:G11)</f>
        <v>22</v>
      </c>
      <c r="H12" s="266">
        <f>SUM(H3:H11)</f>
        <v>36</v>
      </c>
      <c r="K12" s="267">
        <f>SUM(K3:K11)</f>
        <v>0</v>
      </c>
      <c r="L12" s="268">
        <f t="shared" si="1"/>
        <v>0</v>
      </c>
    </row>
    <row r="13" spans="1:13" x14ac:dyDescent="0.2">
      <c r="K13" s="88"/>
      <c r="L13" s="255"/>
    </row>
    <row r="14" spans="1:13" ht="36" x14ac:dyDescent="0.2">
      <c r="D14" s="210" t="s">
        <v>309</v>
      </c>
      <c r="E14" s="210" t="s">
        <v>310</v>
      </c>
      <c r="F14" s="210" t="s">
        <v>311</v>
      </c>
      <c r="G14" s="210" t="s">
        <v>319</v>
      </c>
      <c r="H14" s="210" t="s">
        <v>312</v>
      </c>
    </row>
    <row r="15" spans="1:13" x14ac:dyDescent="0.2">
      <c r="C15" s="317" t="s">
        <v>318</v>
      </c>
      <c r="D15" s="318" t="s">
        <v>314</v>
      </c>
      <c r="E15" s="318" t="s">
        <v>317</v>
      </c>
      <c r="F15" s="319" t="s">
        <v>316</v>
      </c>
      <c r="G15" s="320">
        <f>+G4</f>
        <v>2</v>
      </c>
      <c r="H15" s="320">
        <f>+H4</f>
        <v>4</v>
      </c>
    </row>
    <row r="16" spans="1:13" ht="5.25" customHeight="1" x14ac:dyDescent="0.2">
      <c r="C16" s="60"/>
      <c r="D16" s="60"/>
      <c r="E16" s="60"/>
      <c r="F16" s="60"/>
      <c r="G16" s="60"/>
      <c r="H16" s="60"/>
    </row>
    <row r="17" spans="1:14" x14ac:dyDescent="0.2">
      <c r="C17" s="317" t="s">
        <v>313</v>
      </c>
      <c r="D17" s="318" t="s">
        <v>314</v>
      </c>
      <c r="E17" s="318" t="s">
        <v>315</v>
      </c>
      <c r="F17" s="319" t="s">
        <v>316</v>
      </c>
      <c r="G17" s="320">
        <f>+G3+G6+G9</f>
        <v>7</v>
      </c>
      <c r="H17" s="320">
        <f>+H3+H6+H9</f>
        <v>14</v>
      </c>
    </row>
    <row r="18" spans="1:14" x14ac:dyDescent="0.2">
      <c r="C18" s="321" t="s">
        <v>313</v>
      </c>
      <c r="D18" s="322" t="s">
        <v>314</v>
      </c>
      <c r="E18" s="322" t="s">
        <v>317</v>
      </c>
      <c r="F18" s="323" t="s">
        <v>316</v>
      </c>
      <c r="G18" s="324">
        <f>+G7+G10</f>
        <v>5</v>
      </c>
      <c r="H18" s="324">
        <f>+H7+H10</f>
        <v>10</v>
      </c>
    </row>
    <row r="19" spans="1:14" x14ac:dyDescent="0.2">
      <c r="C19" s="325" t="s">
        <v>313</v>
      </c>
      <c r="D19" s="326" t="s">
        <v>376</v>
      </c>
      <c r="E19" s="326" t="s">
        <v>451</v>
      </c>
      <c r="F19" s="327" t="s">
        <v>340</v>
      </c>
      <c r="G19" s="328">
        <f>+G8+G11</f>
        <v>6</v>
      </c>
      <c r="H19" s="328">
        <f>+H8+H11</f>
        <v>6</v>
      </c>
    </row>
    <row r="20" spans="1:14" x14ac:dyDescent="0.2">
      <c r="C20" s="317" t="s">
        <v>313</v>
      </c>
      <c r="D20" s="318" t="s">
        <v>374</v>
      </c>
      <c r="E20" s="318" t="s">
        <v>375</v>
      </c>
      <c r="F20" s="319" t="s">
        <v>340</v>
      </c>
      <c r="G20" s="320">
        <f>+G5</f>
        <v>2</v>
      </c>
      <c r="H20" s="320">
        <f>+H5</f>
        <v>2</v>
      </c>
    </row>
    <row r="21" spans="1:14" ht="3.75" customHeight="1" thickBot="1" x14ac:dyDescent="0.25">
      <c r="C21" s="60"/>
      <c r="D21" s="60"/>
      <c r="E21" s="60"/>
      <c r="F21" s="60"/>
      <c r="G21" s="60"/>
      <c r="H21" s="60"/>
    </row>
    <row r="22" spans="1:14" ht="13.5" thickBot="1" x14ac:dyDescent="0.25">
      <c r="G22" s="221">
        <f>SUM(G15:G21)</f>
        <v>22</v>
      </c>
      <c r="H22" s="222">
        <f>SUM(H15:H21)</f>
        <v>36</v>
      </c>
    </row>
    <row r="23" spans="1:14" x14ac:dyDescent="0.2">
      <c r="M23" s="256"/>
    </row>
    <row r="24" spans="1:14" ht="13.5" thickBot="1" x14ac:dyDescent="0.25"/>
    <row r="25" spans="1:14" ht="12.75" customHeight="1" thickBot="1" x14ac:dyDescent="0.25">
      <c r="A25" s="440" t="s">
        <v>13</v>
      </c>
      <c r="B25" s="441"/>
      <c r="C25" s="441"/>
      <c r="D25" s="441"/>
      <c r="E25" s="441"/>
      <c r="F25" s="441"/>
      <c r="G25" s="442"/>
      <c r="H25" s="446" t="s">
        <v>14</v>
      </c>
      <c r="I25" s="428" t="s">
        <v>15</v>
      </c>
      <c r="J25" s="429"/>
      <c r="K25" s="426" t="s">
        <v>382</v>
      </c>
      <c r="L25" s="432" t="s">
        <v>324</v>
      </c>
      <c r="M25" s="432" t="s">
        <v>326</v>
      </c>
      <c r="N25" s="430" t="s">
        <v>325</v>
      </c>
    </row>
    <row r="26" spans="1:14" x14ac:dyDescent="0.2">
      <c r="A26" s="443"/>
      <c r="B26" s="444"/>
      <c r="C26" s="444"/>
      <c r="D26" s="444"/>
      <c r="E26" s="444"/>
      <c r="F26" s="444"/>
      <c r="G26" s="445"/>
      <c r="H26" s="447"/>
      <c r="I26" s="161" t="s">
        <v>320</v>
      </c>
      <c r="J26" s="269" t="s">
        <v>321</v>
      </c>
      <c r="K26" s="427"/>
      <c r="L26" s="433"/>
      <c r="M26" s="433"/>
      <c r="N26" s="431"/>
    </row>
    <row r="27" spans="1:14" ht="27" customHeight="1" x14ac:dyDescent="0.2">
      <c r="A27" s="435" t="s">
        <v>302</v>
      </c>
      <c r="B27" s="242" t="s">
        <v>303</v>
      </c>
      <c r="C27" s="386" t="s">
        <v>381</v>
      </c>
      <c r="D27" s="448"/>
      <c r="E27" s="448"/>
      <c r="F27" s="448"/>
      <c r="G27" s="387"/>
      <c r="H27" s="242" t="s">
        <v>307</v>
      </c>
      <c r="I27" s="211">
        <f>+G15</f>
        <v>2</v>
      </c>
      <c r="J27" s="211">
        <f>+H15</f>
        <v>4</v>
      </c>
      <c r="K27" s="212">
        <f>+L27*2</f>
        <v>0</v>
      </c>
      <c r="L27" s="212">
        <f>+'Vigilante 12x36 Noturno Arm'!$D$153</f>
        <v>0</v>
      </c>
      <c r="M27" s="213">
        <f>+L27*J27</f>
        <v>0</v>
      </c>
      <c r="N27" s="213">
        <f>+M27*12</f>
        <v>0</v>
      </c>
    </row>
    <row r="28" spans="1:14" ht="27" customHeight="1" x14ac:dyDescent="0.2">
      <c r="A28" s="436"/>
      <c r="B28" s="242" t="s">
        <v>304</v>
      </c>
      <c r="C28" s="386" t="s">
        <v>299</v>
      </c>
      <c r="D28" s="448"/>
      <c r="E28" s="448"/>
      <c r="F28" s="448"/>
      <c r="G28" s="387"/>
      <c r="H28" s="242" t="s">
        <v>307</v>
      </c>
      <c r="I28" s="211">
        <f t="shared" ref="I28:J31" si="2">+G17</f>
        <v>7</v>
      </c>
      <c r="J28" s="211">
        <f t="shared" si="2"/>
        <v>14</v>
      </c>
      <c r="K28" s="212">
        <f>+L28*2</f>
        <v>0</v>
      </c>
      <c r="L28" s="212">
        <f>+'Vigilante 12X36 Diurno Des'!$D$153</f>
        <v>0</v>
      </c>
      <c r="M28" s="213">
        <f>+L28*J28</f>
        <v>0</v>
      </c>
      <c r="N28" s="213">
        <f>+M28*12</f>
        <v>0</v>
      </c>
    </row>
    <row r="29" spans="1:14" ht="27" customHeight="1" x14ac:dyDescent="0.2">
      <c r="A29" s="436"/>
      <c r="B29" s="242" t="s">
        <v>305</v>
      </c>
      <c r="C29" s="386" t="s">
        <v>298</v>
      </c>
      <c r="D29" s="448"/>
      <c r="E29" s="448"/>
      <c r="F29" s="448"/>
      <c r="G29" s="387"/>
      <c r="H29" s="242" t="s">
        <v>307</v>
      </c>
      <c r="I29" s="211">
        <f t="shared" si="2"/>
        <v>5</v>
      </c>
      <c r="J29" s="211">
        <f t="shared" si="2"/>
        <v>10</v>
      </c>
      <c r="K29" s="212">
        <f>+L29*2</f>
        <v>0</v>
      </c>
      <c r="L29" s="212">
        <f>+'Vigilante 12X36 Noturno Des'!$D$155</f>
        <v>0</v>
      </c>
      <c r="M29" s="213">
        <f>+L29*J29</f>
        <v>0</v>
      </c>
      <c r="N29" s="213">
        <f>+M29*12</f>
        <v>0</v>
      </c>
    </row>
    <row r="30" spans="1:14" ht="27" customHeight="1" x14ac:dyDescent="0.2">
      <c r="A30" s="436"/>
      <c r="B30" s="242" t="s">
        <v>306</v>
      </c>
      <c r="C30" s="386" t="s">
        <v>449</v>
      </c>
      <c r="D30" s="448"/>
      <c r="E30" s="448"/>
      <c r="F30" s="448"/>
      <c r="G30" s="387"/>
      <c r="H30" s="242" t="s">
        <v>339</v>
      </c>
      <c r="I30" s="211">
        <f t="shared" si="2"/>
        <v>6</v>
      </c>
      <c r="J30" s="211">
        <f t="shared" si="2"/>
        <v>6</v>
      </c>
      <c r="K30" s="212">
        <f>+L30</f>
        <v>0</v>
      </c>
      <c r="L30" s="212">
        <f>+'Vigilante 5x2 12h Desar'!$D$154</f>
        <v>0</v>
      </c>
      <c r="M30" s="213">
        <f>+L30*J30</f>
        <v>0</v>
      </c>
      <c r="N30" s="213">
        <f>+M30*12</f>
        <v>0</v>
      </c>
    </row>
    <row r="31" spans="1:14" ht="27" customHeight="1" x14ac:dyDescent="0.2">
      <c r="A31" s="437"/>
      <c r="B31" s="242" t="s">
        <v>337</v>
      </c>
      <c r="C31" s="386" t="s">
        <v>379</v>
      </c>
      <c r="D31" s="448"/>
      <c r="E31" s="448"/>
      <c r="F31" s="448"/>
      <c r="G31" s="387"/>
      <c r="H31" s="242" t="s">
        <v>339</v>
      </c>
      <c r="I31" s="211">
        <f t="shared" si="2"/>
        <v>2</v>
      </c>
      <c r="J31" s="211">
        <f t="shared" si="2"/>
        <v>2</v>
      </c>
      <c r="K31" s="212">
        <f>+L31</f>
        <v>0</v>
      </c>
      <c r="L31" s="212">
        <f>+'Vigilante 44h Desarm'!$D$155</f>
        <v>0</v>
      </c>
      <c r="M31" s="213">
        <f>+L31*J31</f>
        <v>0</v>
      </c>
      <c r="N31" s="213">
        <f>+M31*12</f>
        <v>0</v>
      </c>
    </row>
    <row r="32" spans="1:14" x14ac:dyDescent="0.2">
      <c r="I32" s="223">
        <f>SUM(I27:I31)</f>
        <v>22</v>
      </c>
      <c r="J32" s="223">
        <f>SUM(J27:J31)</f>
        <v>36</v>
      </c>
      <c r="M32" s="214">
        <f>SUM(M27:M31)</f>
        <v>0</v>
      </c>
      <c r="N32" s="214">
        <f>SUM(N27:N31)</f>
        <v>0</v>
      </c>
    </row>
    <row r="35" spans="5:9" x14ac:dyDescent="0.2">
      <c r="E35" s="434"/>
      <c r="F35" s="434"/>
      <c r="G35" s="434"/>
      <c r="H35" s="434"/>
      <c r="I35" s="434"/>
    </row>
  </sheetData>
  <mergeCells count="19">
    <mergeCell ref="E35:I35"/>
    <mergeCell ref="A27:A31"/>
    <mergeCell ref="A3:B5"/>
    <mergeCell ref="A6:B8"/>
    <mergeCell ref="A9:B11"/>
    <mergeCell ref="A25:G26"/>
    <mergeCell ref="H25:H26"/>
    <mergeCell ref="C27:G27"/>
    <mergeCell ref="C28:G28"/>
    <mergeCell ref="C29:G29"/>
    <mergeCell ref="C30:G30"/>
    <mergeCell ref="C31:G31"/>
    <mergeCell ref="A2:B2"/>
    <mergeCell ref="A1:M1"/>
    <mergeCell ref="K25:K26"/>
    <mergeCell ref="I25:J25"/>
    <mergeCell ref="N25:N26"/>
    <mergeCell ref="L25:L26"/>
    <mergeCell ref="M25:M26"/>
  </mergeCells>
  <pageMargins left="0.23" right="0.51181102362204722" top="1.2" bottom="0.78740157480314965" header="0.31496062992125984" footer="0.31496062992125984"/>
  <pageSetup paperSize="9" scale="61" orientation="landscape" r:id="rId1"/>
  <headerFooter>
    <oddFooter>&amp;A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>
    <tabColor rgb="FFFFFF00"/>
  </sheetPr>
  <dimension ref="A1:F185"/>
  <sheetViews>
    <sheetView topLeftCell="A57" workbookViewId="0">
      <selection activeCell="D100" sqref="D100"/>
    </sheetView>
  </sheetViews>
  <sheetFormatPr defaultRowHeight="12.75" x14ac:dyDescent="0.2"/>
  <cols>
    <col min="1" max="1" width="5.625" customWidth="1"/>
    <col min="2" max="2" width="50.5" customWidth="1"/>
    <col min="3" max="3" width="9.375" bestFit="1" customWidth="1"/>
    <col min="4" max="4" width="15.625" customWidth="1"/>
    <col min="5" max="5" width="11.75" bestFit="1" customWidth="1"/>
  </cols>
  <sheetData>
    <row r="1" spans="1:6" x14ac:dyDescent="0.2">
      <c r="A1" s="477" t="s">
        <v>211</v>
      </c>
      <c r="B1" s="478"/>
      <c r="C1" s="478"/>
      <c r="D1" s="479"/>
      <c r="E1" s="3"/>
      <c r="F1" s="3"/>
    </row>
    <row r="4" spans="1:6" x14ac:dyDescent="0.2">
      <c r="A4" s="474" t="s">
        <v>16</v>
      </c>
      <c r="B4" s="474"/>
      <c r="C4" s="474"/>
      <c r="D4" s="474"/>
    </row>
    <row r="5" spans="1:6" s="1" customFormat="1" ht="42.75" customHeight="1" x14ac:dyDescent="0.2">
      <c r="A5" s="208">
        <v>1</v>
      </c>
      <c r="B5" s="209" t="s">
        <v>17</v>
      </c>
      <c r="C5" s="568" t="s">
        <v>372</v>
      </c>
      <c r="D5" s="569"/>
    </row>
    <row r="6" spans="1:6" s="1" customFormat="1" x14ac:dyDescent="0.2">
      <c r="A6" s="208">
        <v>2</v>
      </c>
      <c r="B6" s="209" t="s">
        <v>18</v>
      </c>
      <c r="C6" s="570" t="s">
        <v>295</v>
      </c>
      <c r="D6" s="571"/>
    </row>
    <row r="7" spans="1:6" s="1" customFormat="1" x14ac:dyDescent="0.2">
      <c r="A7" s="208">
        <v>3</v>
      </c>
      <c r="B7" s="209" t="s">
        <v>19</v>
      </c>
      <c r="C7" s="484"/>
      <c r="D7" s="484"/>
    </row>
    <row r="8" spans="1:6" s="1" customFormat="1" ht="41.25" customHeight="1" x14ac:dyDescent="0.2">
      <c r="A8" s="208">
        <v>4</v>
      </c>
      <c r="B8" s="209" t="s">
        <v>21</v>
      </c>
      <c r="C8" s="566" t="s">
        <v>296</v>
      </c>
      <c r="D8" s="567"/>
    </row>
    <row r="9" spans="1:6" s="1" customFormat="1" x14ac:dyDescent="0.2">
      <c r="A9" s="208">
        <v>5</v>
      </c>
      <c r="B9" s="209" t="s">
        <v>20</v>
      </c>
      <c r="C9" s="572">
        <v>43160</v>
      </c>
      <c r="D9" s="571"/>
    </row>
    <row r="10" spans="1:6" x14ac:dyDescent="0.2">
      <c r="D10" s="201"/>
    </row>
    <row r="11" spans="1:6" x14ac:dyDescent="0.2">
      <c r="A11" s="455" t="s">
        <v>22</v>
      </c>
      <c r="B11" s="455"/>
      <c r="C11" s="455"/>
      <c r="D11" s="455"/>
    </row>
    <row r="12" spans="1:6" x14ac:dyDescent="0.2">
      <c r="A12" s="4">
        <v>1</v>
      </c>
      <c r="B12" s="207" t="s">
        <v>23</v>
      </c>
      <c r="C12" s="196" t="s">
        <v>50</v>
      </c>
      <c r="D12" s="5" t="s">
        <v>24</v>
      </c>
    </row>
    <row r="13" spans="1:6" x14ac:dyDescent="0.2">
      <c r="A13" s="195" t="s">
        <v>3</v>
      </c>
      <c r="B13" s="388" t="s">
        <v>30</v>
      </c>
      <c r="C13" s="388"/>
      <c r="D13" s="7">
        <f>+C7</f>
        <v>0</v>
      </c>
    </row>
    <row r="14" spans="1:6" x14ac:dyDescent="0.2">
      <c r="A14" s="195" t="s">
        <v>4</v>
      </c>
      <c r="B14" s="89" t="s">
        <v>31</v>
      </c>
      <c r="C14" s="95">
        <v>0.3</v>
      </c>
      <c r="D14" s="7">
        <f>+(D13+D23)*C14</f>
        <v>0</v>
      </c>
      <c r="E14" s="88"/>
    </row>
    <row r="15" spans="1:6" x14ac:dyDescent="0.2">
      <c r="A15" s="195" t="s">
        <v>5</v>
      </c>
      <c r="B15" s="89" t="s">
        <v>32</v>
      </c>
      <c r="C15" s="95"/>
      <c r="D15" s="7"/>
    </row>
    <row r="16" spans="1:6" x14ac:dyDescent="0.2">
      <c r="A16" s="195" t="s">
        <v>6</v>
      </c>
      <c r="B16" s="388" t="s">
        <v>33</v>
      </c>
      <c r="C16" s="388"/>
      <c r="D16" s="7"/>
    </row>
    <row r="17" spans="1:6" x14ac:dyDescent="0.2">
      <c r="A17" s="195" t="s">
        <v>25</v>
      </c>
      <c r="B17" s="388" t="s">
        <v>34</v>
      </c>
      <c r="C17" s="388"/>
      <c r="D17" s="7"/>
    </row>
    <row r="18" spans="1:6" x14ac:dyDescent="0.2">
      <c r="A18" s="195" t="s">
        <v>26</v>
      </c>
      <c r="B18" s="468" t="s">
        <v>231</v>
      </c>
      <c r="C18" s="469"/>
      <c r="D18" s="7"/>
    </row>
    <row r="19" spans="1:6" x14ac:dyDescent="0.2">
      <c r="A19" s="195" t="s">
        <v>27</v>
      </c>
      <c r="B19" s="388" t="s">
        <v>35</v>
      </c>
      <c r="C19" s="388"/>
      <c r="D19" s="7"/>
    </row>
    <row r="20" spans="1:6" x14ac:dyDescent="0.2">
      <c r="A20" s="195" t="s">
        <v>28</v>
      </c>
      <c r="B20" s="468" t="s">
        <v>195</v>
      </c>
      <c r="C20" s="469"/>
      <c r="D20" s="93"/>
    </row>
    <row r="21" spans="1:6" x14ac:dyDescent="0.2">
      <c r="A21" s="195" t="s">
        <v>64</v>
      </c>
      <c r="B21" s="89" t="s">
        <v>65</v>
      </c>
      <c r="C21" s="95"/>
      <c r="D21" s="7"/>
    </row>
    <row r="22" spans="1:6" x14ac:dyDescent="0.2">
      <c r="A22" s="195" t="s">
        <v>194</v>
      </c>
      <c r="B22" s="388" t="s">
        <v>95</v>
      </c>
      <c r="C22" s="388"/>
      <c r="D22" s="8"/>
      <c r="F22" s="98"/>
    </row>
    <row r="23" spans="1:6" x14ac:dyDescent="0.2">
      <c r="A23" s="195" t="s">
        <v>196</v>
      </c>
      <c r="B23" s="468" t="s">
        <v>344</v>
      </c>
      <c r="C23" s="469"/>
      <c r="D23" s="8"/>
      <c r="F23" s="98"/>
    </row>
    <row r="24" spans="1:6" x14ac:dyDescent="0.2">
      <c r="A24" s="195" t="s">
        <v>342</v>
      </c>
      <c r="B24" s="388" t="s">
        <v>36</v>
      </c>
      <c r="C24" s="388"/>
      <c r="D24" s="8"/>
    </row>
    <row r="25" spans="1:6" x14ac:dyDescent="0.2">
      <c r="A25" s="474" t="s">
        <v>29</v>
      </c>
      <c r="B25" s="474"/>
      <c r="C25" s="474"/>
      <c r="D25" s="9">
        <f>SUM(D13:D24)</f>
        <v>0</v>
      </c>
    </row>
    <row r="27" spans="1:6" x14ac:dyDescent="0.2">
      <c r="A27" s="460" t="s">
        <v>37</v>
      </c>
      <c r="B27" s="461"/>
      <c r="C27" s="461"/>
      <c r="D27" s="461"/>
    </row>
    <row r="29" spans="1:6" x14ac:dyDescent="0.2">
      <c r="A29" s="455" t="s">
        <v>38</v>
      </c>
      <c r="B29" s="455"/>
      <c r="C29" s="455"/>
      <c r="D29" s="455"/>
    </row>
    <row r="30" spans="1:6" x14ac:dyDescent="0.2">
      <c r="A30" s="13" t="s">
        <v>39</v>
      </c>
      <c r="B30" s="14" t="s">
        <v>40</v>
      </c>
      <c r="C30" s="196" t="s">
        <v>50</v>
      </c>
      <c r="D30" s="196" t="s">
        <v>24</v>
      </c>
    </row>
    <row r="31" spans="1:6" x14ac:dyDescent="0.2">
      <c r="A31" s="195" t="s">
        <v>3</v>
      </c>
      <c r="B31" s="6" t="s">
        <v>46</v>
      </c>
      <c r="C31" s="29" t="e">
        <f>ROUND(+D31/$D$25,4)</f>
        <v>#DIV/0!</v>
      </c>
      <c r="D31" s="8">
        <f>ROUND(+D25/12,2)</f>
        <v>0</v>
      </c>
    </row>
    <row r="32" spans="1:6" x14ac:dyDescent="0.2">
      <c r="A32" s="28" t="s">
        <v>4</v>
      </c>
      <c r="B32" s="37" t="s">
        <v>43</v>
      </c>
      <c r="C32" s="38" t="e">
        <f>ROUND(+D32/$D$25,4)</f>
        <v>#DIV/0!</v>
      </c>
      <c r="D32" s="39">
        <f>+D33+D34</f>
        <v>0</v>
      </c>
    </row>
    <row r="33" spans="1:4" x14ac:dyDescent="0.2">
      <c r="A33" s="195" t="s">
        <v>41</v>
      </c>
      <c r="B33" s="35" t="s">
        <v>45</v>
      </c>
      <c r="C33" s="40" t="e">
        <f>ROUND(+D33/$D$25,4)</f>
        <v>#DIV/0!</v>
      </c>
      <c r="D33" s="36">
        <f>ROUND(+D25/12,2)</f>
        <v>0</v>
      </c>
    </row>
    <row r="34" spans="1:4" x14ac:dyDescent="0.2">
      <c r="A34" s="195" t="s">
        <v>42</v>
      </c>
      <c r="B34" s="35" t="s">
        <v>44</v>
      </c>
      <c r="C34" s="40" t="e">
        <f>ROUND(+D34/$D$25,4)</f>
        <v>#DIV/0!</v>
      </c>
      <c r="D34" s="36">
        <f>ROUND(+(D25*1/3)/12,2)</f>
        <v>0</v>
      </c>
    </row>
    <row r="35" spans="1:4" x14ac:dyDescent="0.2">
      <c r="A35" s="474" t="s">
        <v>29</v>
      </c>
      <c r="B35" s="474"/>
      <c r="C35" s="474"/>
      <c r="D35" s="9">
        <f>+D32+D31</f>
        <v>0</v>
      </c>
    </row>
    <row r="37" spans="1:4" x14ac:dyDescent="0.2">
      <c r="A37" s="467" t="s">
        <v>47</v>
      </c>
      <c r="B37" s="467"/>
      <c r="C37" s="467"/>
      <c r="D37" s="467"/>
    </row>
    <row r="38" spans="1:4" x14ac:dyDescent="0.2">
      <c r="A38" s="13" t="s">
        <v>48</v>
      </c>
      <c r="B38" s="14" t="s">
        <v>49</v>
      </c>
      <c r="C38" s="196" t="s">
        <v>50</v>
      </c>
      <c r="D38" s="196" t="s">
        <v>24</v>
      </c>
    </row>
    <row r="39" spans="1:4" x14ac:dyDescent="0.2">
      <c r="A39" s="195" t="s">
        <v>3</v>
      </c>
      <c r="B39" s="6" t="s">
        <v>51</v>
      </c>
      <c r="C39" s="17">
        <v>0.2</v>
      </c>
      <c r="D39" s="18">
        <f>ROUND(C39*($D$25+$D$35),2)</f>
        <v>0</v>
      </c>
    </row>
    <row r="40" spans="1:4" x14ac:dyDescent="0.2">
      <c r="A40" s="195" t="s">
        <v>4</v>
      </c>
      <c r="B40" s="6" t="s">
        <v>52</v>
      </c>
      <c r="C40" s="17">
        <v>2.5000000000000001E-2</v>
      </c>
      <c r="D40" s="18">
        <f t="shared" ref="D40:D45" si="0">ROUND(C40*($D$25+$D$35),2)</f>
        <v>0</v>
      </c>
    </row>
    <row r="41" spans="1:4" x14ac:dyDescent="0.2">
      <c r="A41" s="195" t="s">
        <v>5</v>
      </c>
      <c r="B41" s="6" t="s">
        <v>58</v>
      </c>
      <c r="C41" s="17">
        <f>3%</f>
        <v>0.03</v>
      </c>
      <c r="D41" s="18">
        <f t="shared" si="0"/>
        <v>0</v>
      </c>
    </row>
    <row r="42" spans="1:4" x14ac:dyDescent="0.2">
      <c r="A42" s="195" t="s">
        <v>6</v>
      </c>
      <c r="B42" s="6" t="s">
        <v>53</v>
      </c>
      <c r="C42" s="17">
        <v>1.4999999999999999E-2</v>
      </c>
      <c r="D42" s="18">
        <f t="shared" si="0"/>
        <v>0</v>
      </c>
    </row>
    <row r="43" spans="1:4" x14ac:dyDescent="0.2">
      <c r="A43" s="195" t="s">
        <v>25</v>
      </c>
      <c r="B43" s="6" t="s">
        <v>54</v>
      </c>
      <c r="C43" s="17">
        <v>0.01</v>
      </c>
      <c r="D43" s="18">
        <f t="shared" si="0"/>
        <v>0</v>
      </c>
    </row>
    <row r="44" spans="1:4" x14ac:dyDescent="0.2">
      <c r="A44" s="195" t="s">
        <v>26</v>
      </c>
      <c r="B44" s="6" t="s">
        <v>55</v>
      </c>
      <c r="C44" s="17">
        <v>6.0000000000000001E-3</v>
      </c>
      <c r="D44" s="18">
        <f t="shared" si="0"/>
        <v>0</v>
      </c>
    </row>
    <row r="45" spans="1:4" x14ac:dyDescent="0.2">
      <c r="A45" s="195" t="s">
        <v>27</v>
      </c>
      <c r="B45" s="6" t="s">
        <v>56</v>
      </c>
      <c r="C45" s="17">
        <v>2E-3</v>
      </c>
      <c r="D45" s="18">
        <f t="shared" si="0"/>
        <v>0</v>
      </c>
    </row>
    <row r="46" spans="1:4" x14ac:dyDescent="0.2">
      <c r="A46" s="195" t="s">
        <v>28</v>
      </c>
      <c r="B46" s="6" t="s">
        <v>57</v>
      </c>
      <c r="C46" s="17">
        <v>0.08</v>
      </c>
      <c r="D46" s="18">
        <f>ROUND(C46*($D$25+$D$35),2)</f>
        <v>0</v>
      </c>
    </row>
    <row r="47" spans="1:4" x14ac:dyDescent="0.2">
      <c r="A47" s="197" t="s">
        <v>29</v>
      </c>
      <c r="B47" s="198"/>
      <c r="C47" s="41">
        <f>SUM(C39:C46)</f>
        <v>0.36800000000000005</v>
      </c>
      <c r="D47" s="42">
        <f>SUM(D39:D46)</f>
        <v>0</v>
      </c>
    </row>
    <row r="48" spans="1:4" x14ac:dyDescent="0.2">
      <c r="A48" s="43"/>
      <c r="B48" s="43"/>
      <c r="C48" s="43"/>
      <c r="D48" s="43"/>
    </row>
    <row r="49" spans="1:6" x14ac:dyDescent="0.2">
      <c r="A49" s="467" t="s">
        <v>59</v>
      </c>
      <c r="B49" s="467"/>
      <c r="C49" s="467"/>
      <c r="D49" s="467"/>
    </row>
    <row r="50" spans="1:6" x14ac:dyDescent="0.2">
      <c r="A50" s="13" t="s">
        <v>60</v>
      </c>
      <c r="B50" s="14" t="s">
        <v>61</v>
      </c>
      <c r="C50" s="196"/>
      <c r="D50" s="196" t="s">
        <v>24</v>
      </c>
    </row>
    <row r="51" spans="1:6" x14ac:dyDescent="0.2">
      <c r="A51" s="107" t="s">
        <v>3</v>
      </c>
      <c r="B51" s="6" t="s">
        <v>62</v>
      </c>
      <c r="C51" s="54"/>
      <c r="D51" s="18">
        <f>+'Calculo 44h Desarm'!C121</f>
        <v>0</v>
      </c>
    </row>
    <row r="52" spans="1:6" s="60" customFormat="1" x14ac:dyDescent="0.2">
      <c r="A52" s="75" t="s">
        <v>177</v>
      </c>
      <c r="B52" s="34" t="s">
        <v>178</v>
      </c>
      <c r="C52" s="29">
        <f>+$C$137+$C$138</f>
        <v>3.6499999999999998E-2</v>
      </c>
      <c r="D52" s="77">
        <f>+(C52*D51)*-1</f>
        <v>0</v>
      </c>
      <c r="F52" s="76"/>
    </row>
    <row r="53" spans="1:6" x14ac:dyDescent="0.2">
      <c r="A53" s="107" t="s">
        <v>4</v>
      </c>
      <c r="B53" s="6" t="s">
        <v>63</v>
      </c>
      <c r="C53" s="54"/>
      <c r="D53" s="18">
        <f>+'Calculo 44h Desarm'!C130</f>
        <v>0</v>
      </c>
      <c r="F53" s="61"/>
    </row>
    <row r="54" spans="1:6" s="60" customFormat="1" x14ac:dyDescent="0.2">
      <c r="A54" s="75" t="s">
        <v>41</v>
      </c>
      <c r="B54" s="34" t="s">
        <v>178</v>
      </c>
      <c r="C54" s="29">
        <f>+$C$137+$C$138</f>
        <v>3.6499999999999998E-2</v>
      </c>
      <c r="D54" s="77">
        <f>+(C54*D53)*-1</f>
        <v>0</v>
      </c>
      <c r="F54" s="78"/>
    </row>
    <row r="55" spans="1:6" x14ac:dyDescent="0.2">
      <c r="A55" s="6" t="s">
        <v>5</v>
      </c>
      <c r="B55" s="6" t="s">
        <v>66</v>
      </c>
      <c r="C55" s="54"/>
      <c r="D55" s="18"/>
      <c r="F55" s="61"/>
    </row>
    <row r="56" spans="1:6" x14ac:dyDescent="0.2">
      <c r="A56" s="75" t="s">
        <v>161</v>
      </c>
      <c r="B56" s="34" t="s">
        <v>178</v>
      </c>
      <c r="C56" s="29">
        <f>+$C$137+$C$138</f>
        <v>3.6499999999999998E-2</v>
      </c>
      <c r="D56" s="77">
        <f>+(C56*D55)*-1</f>
        <v>0</v>
      </c>
      <c r="F56" s="61"/>
    </row>
    <row r="57" spans="1:6" x14ac:dyDescent="0.2">
      <c r="A57" s="116" t="s">
        <v>6</v>
      </c>
      <c r="B57" s="116" t="s">
        <v>403</v>
      </c>
      <c r="C57" s="54"/>
      <c r="D57" s="377"/>
      <c r="F57" s="61"/>
    </row>
    <row r="58" spans="1:6" x14ac:dyDescent="0.2">
      <c r="A58" s="75" t="s">
        <v>179</v>
      </c>
      <c r="B58" s="34" t="s">
        <v>178</v>
      </c>
      <c r="C58" s="29">
        <f>+$C$137+$C$138</f>
        <v>3.6499999999999998E-2</v>
      </c>
      <c r="D58" s="77">
        <f>+(C58*D57)*-1</f>
        <v>0</v>
      </c>
      <c r="F58" s="61"/>
    </row>
    <row r="59" spans="1:6" x14ac:dyDescent="0.2">
      <c r="A59" s="116" t="s">
        <v>25</v>
      </c>
      <c r="B59" s="116" t="s">
        <v>436</v>
      </c>
      <c r="C59" s="54"/>
      <c r="D59" s="378"/>
      <c r="F59" s="131"/>
    </row>
    <row r="60" spans="1:6" x14ac:dyDescent="0.2">
      <c r="A60" s="75" t="s">
        <v>180</v>
      </c>
      <c r="B60" s="34" t="s">
        <v>178</v>
      </c>
      <c r="C60" s="29">
        <f>+$C$137+$C$138</f>
        <v>3.6499999999999998E-2</v>
      </c>
      <c r="D60" s="77">
        <f>+(C60*D59)*-1</f>
        <v>0</v>
      </c>
    </row>
    <row r="61" spans="1:6" x14ac:dyDescent="0.2">
      <c r="A61" s="116" t="s">
        <v>26</v>
      </c>
      <c r="B61" s="454" t="s">
        <v>293</v>
      </c>
      <c r="C61" s="454"/>
      <c r="D61" s="377"/>
    </row>
    <row r="62" spans="1:6" x14ac:dyDescent="0.2">
      <c r="A62" s="108" t="s">
        <v>81</v>
      </c>
      <c r="B62" s="34" t="s">
        <v>178</v>
      </c>
      <c r="C62" s="29">
        <f>+$C$137+$C$138</f>
        <v>3.6499999999999998E-2</v>
      </c>
      <c r="D62" s="77">
        <f>+(C62*D61)*-1</f>
        <v>0</v>
      </c>
    </row>
    <row r="63" spans="1:6" x14ac:dyDescent="0.2">
      <c r="A63" s="474" t="s">
        <v>29</v>
      </c>
      <c r="B63" s="474"/>
      <c r="C63" s="16"/>
      <c r="D63" s="110">
        <f>SUM(D51:D62)</f>
        <v>0</v>
      </c>
    </row>
    <row r="65" spans="1:4" x14ac:dyDescent="0.2">
      <c r="A65" s="455" t="s">
        <v>67</v>
      </c>
      <c r="B65" s="455"/>
      <c r="C65" s="455"/>
      <c r="D65" s="455"/>
    </row>
    <row r="66" spans="1:4" x14ac:dyDescent="0.2">
      <c r="A66" s="24">
        <v>2</v>
      </c>
      <c r="B66" s="455" t="s">
        <v>68</v>
      </c>
      <c r="C66" s="455"/>
      <c r="D66" s="200" t="s">
        <v>24</v>
      </c>
    </row>
    <row r="67" spans="1:4" x14ac:dyDescent="0.2">
      <c r="A67" s="25" t="s">
        <v>39</v>
      </c>
      <c r="B67" s="466" t="s">
        <v>40</v>
      </c>
      <c r="C67" s="466"/>
      <c r="D67" s="18">
        <f>+D35</f>
        <v>0</v>
      </c>
    </row>
    <row r="68" spans="1:4" x14ac:dyDescent="0.2">
      <c r="A68" s="25" t="s">
        <v>48</v>
      </c>
      <c r="B68" s="466" t="s">
        <v>49</v>
      </c>
      <c r="C68" s="466"/>
      <c r="D68" s="18">
        <f>+D47</f>
        <v>0</v>
      </c>
    </row>
    <row r="69" spans="1:4" x14ac:dyDescent="0.2">
      <c r="A69" s="25" t="s">
        <v>60</v>
      </c>
      <c r="B69" s="466" t="s">
        <v>61</v>
      </c>
      <c r="C69" s="466"/>
      <c r="D69" s="68">
        <f>+D63</f>
        <v>0</v>
      </c>
    </row>
    <row r="70" spans="1:4" x14ac:dyDescent="0.2">
      <c r="A70" s="455" t="s">
        <v>29</v>
      </c>
      <c r="B70" s="455"/>
      <c r="C70" s="455"/>
      <c r="D70" s="26">
        <f>SUM(D67:D69)</f>
        <v>0</v>
      </c>
    </row>
    <row r="72" spans="1:4" x14ac:dyDescent="0.2">
      <c r="A72" s="455" t="s">
        <v>69</v>
      </c>
      <c r="B72" s="455"/>
      <c r="C72" s="455"/>
      <c r="D72" s="455"/>
    </row>
    <row r="74" spans="1:4" x14ac:dyDescent="0.2">
      <c r="A74" s="13">
        <v>3</v>
      </c>
      <c r="B74" s="14" t="s">
        <v>70</v>
      </c>
      <c r="C74" s="196" t="s">
        <v>50</v>
      </c>
      <c r="D74" s="196" t="s">
        <v>24</v>
      </c>
    </row>
    <row r="75" spans="1:4" x14ac:dyDescent="0.2">
      <c r="A75" s="195" t="s">
        <v>3</v>
      </c>
      <c r="B75" s="34" t="s">
        <v>72</v>
      </c>
      <c r="C75" s="29" t="e">
        <f>+D75/$D$25</f>
        <v>#DIV/0!</v>
      </c>
      <c r="D75" s="118">
        <f>+'Calculo 44h Desarm'!C136</f>
        <v>0</v>
      </c>
    </row>
    <row r="76" spans="1:4" x14ac:dyDescent="0.2">
      <c r="A76" s="195" t="s">
        <v>4</v>
      </c>
      <c r="B76" s="6" t="s">
        <v>73</v>
      </c>
      <c r="C76" s="52"/>
      <c r="D76" s="8">
        <f>ROUND(+D75*$C$46,2)</f>
        <v>0</v>
      </c>
    </row>
    <row r="77" spans="1:4" ht="30" customHeight="1" x14ac:dyDescent="0.2">
      <c r="A77" s="195" t="s">
        <v>5</v>
      </c>
      <c r="B77" s="30" t="s">
        <v>75</v>
      </c>
      <c r="C77" s="17" t="e">
        <f>+D77/$D$25</f>
        <v>#DIV/0!</v>
      </c>
      <c r="D77" s="8">
        <f>+'Calculo 44h Desarm'!C147</f>
        <v>0</v>
      </c>
    </row>
    <row r="78" spans="1:4" x14ac:dyDescent="0.2">
      <c r="A78" s="108" t="s">
        <v>6</v>
      </c>
      <c r="B78" s="6" t="s">
        <v>71</v>
      </c>
      <c r="C78" s="17" t="e">
        <f>+D78/$D$25</f>
        <v>#DIV/0!</v>
      </c>
      <c r="D78" s="8">
        <f>+'Calculo 44h Desarm'!C158</f>
        <v>0</v>
      </c>
    </row>
    <row r="79" spans="1:4" ht="31.5" customHeight="1" x14ac:dyDescent="0.2">
      <c r="A79" s="108" t="s">
        <v>25</v>
      </c>
      <c r="B79" s="30" t="s">
        <v>74</v>
      </c>
      <c r="C79" s="52"/>
      <c r="D79" s="384"/>
    </row>
    <row r="80" spans="1:4" ht="31.5" customHeight="1" x14ac:dyDescent="0.2">
      <c r="A80" s="108" t="s">
        <v>26</v>
      </c>
      <c r="B80" s="30" t="s">
        <v>76</v>
      </c>
      <c r="C80" s="17" t="e">
        <f>+D80/$D$25</f>
        <v>#DIV/0!</v>
      </c>
      <c r="D80" s="18">
        <f>+'Calculo 44h Desarm'!C149</f>
        <v>0</v>
      </c>
    </row>
    <row r="81" spans="1:4" x14ac:dyDescent="0.2">
      <c r="A81" s="474" t="s">
        <v>29</v>
      </c>
      <c r="B81" s="474"/>
      <c r="C81" s="474"/>
      <c r="D81" s="32">
        <f>SUM(D75:D80)</f>
        <v>0</v>
      </c>
    </row>
    <row r="83" spans="1:4" x14ac:dyDescent="0.2">
      <c r="A83" s="455" t="s">
        <v>84</v>
      </c>
      <c r="B83" s="455"/>
      <c r="C83" s="455"/>
      <c r="D83" s="455"/>
    </row>
    <row r="85" spans="1:4" x14ac:dyDescent="0.2">
      <c r="A85" s="467" t="s">
        <v>87</v>
      </c>
      <c r="B85" s="467"/>
      <c r="C85" s="467"/>
      <c r="D85" s="467"/>
    </row>
    <row r="86" spans="1:4" x14ac:dyDescent="0.2">
      <c r="A86" s="13" t="s">
        <v>85</v>
      </c>
      <c r="B86" s="474" t="s">
        <v>86</v>
      </c>
      <c r="C86" s="474"/>
      <c r="D86" s="196" t="s">
        <v>24</v>
      </c>
    </row>
    <row r="87" spans="1:4" x14ac:dyDescent="0.2">
      <c r="A87" s="6" t="s">
        <v>3</v>
      </c>
      <c r="B87" s="470" t="s">
        <v>88</v>
      </c>
      <c r="C87" s="471"/>
      <c r="D87" s="8"/>
    </row>
    <row r="88" spans="1:4" x14ac:dyDescent="0.2">
      <c r="A88" s="34" t="s">
        <v>4</v>
      </c>
      <c r="B88" s="488" t="s">
        <v>86</v>
      </c>
      <c r="C88" s="489"/>
      <c r="D88" s="120">
        <f>+'Calculo 44h Desarm'!C185</f>
        <v>0</v>
      </c>
    </row>
    <row r="89" spans="1:4" s="60" customFormat="1" x14ac:dyDescent="0.2">
      <c r="A89" s="34" t="s">
        <v>5</v>
      </c>
      <c r="B89" s="488" t="s">
        <v>89</v>
      </c>
      <c r="C89" s="489"/>
      <c r="D89" s="120">
        <f>+'Calculo 44h Desarm'!C194</f>
        <v>0</v>
      </c>
    </row>
    <row r="90" spans="1:4" s="60" customFormat="1" x14ac:dyDescent="0.2">
      <c r="A90" s="34" t="s">
        <v>6</v>
      </c>
      <c r="B90" s="488" t="s">
        <v>90</v>
      </c>
      <c r="C90" s="489"/>
      <c r="D90" s="120">
        <f>+'Calculo 44h Desarm'!C202</f>
        <v>0</v>
      </c>
    </row>
    <row r="91" spans="1:4" s="60" customFormat="1" ht="13.5" x14ac:dyDescent="0.2">
      <c r="A91" s="34" t="s">
        <v>25</v>
      </c>
      <c r="B91" s="488" t="s">
        <v>287</v>
      </c>
      <c r="C91" s="489"/>
      <c r="D91" s="120"/>
    </row>
    <row r="92" spans="1:4" s="60" customFormat="1" x14ac:dyDescent="0.2">
      <c r="A92" s="34" t="s">
        <v>26</v>
      </c>
      <c r="B92" s="488" t="s">
        <v>93</v>
      </c>
      <c r="C92" s="489"/>
      <c r="D92" s="120">
        <f>+'Calculo 44h Desarm'!C210</f>
        <v>0</v>
      </c>
    </row>
    <row r="93" spans="1:4" x14ac:dyDescent="0.2">
      <c r="A93" s="6" t="s">
        <v>27</v>
      </c>
      <c r="B93" s="470" t="s">
        <v>36</v>
      </c>
      <c r="C93" s="471"/>
      <c r="D93" s="8"/>
    </row>
    <row r="94" spans="1:4" x14ac:dyDescent="0.2">
      <c r="A94" s="6" t="s">
        <v>28</v>
      </c>
      <c r="B94" s="470" t="s">
        <v>94</v>
      </c>
      <c r="C94" s="471"/>
      <c r="D94" s="384"/>
    </row>
    <row r="95" spans="1:4" x14ac:dyDescent="0.2">
      <c r="A95" s="474" t="s">
        <v>29</v>
      </c>
      <c r="B95" s="474"/>
      <c r="C95" s="474"/>
      <c r="D95" s="9">
        <f>SUM(D87:D94)</f>
        <v>0</v>
      </c>
    </row>
    <row r="96" spans="1:4" x14ac:dyDescent="0.2">
      <c r="D96" s="15"/>
    </row>
    <row r="97" spans="1:4" x14ac:dyDescent="0.2">
      <c r="A97" s="13" t="s">
        <v>99</v>
      </c>
      <c r="B97" s="474" t="s">
        <v>92</v>
      </c>
      <c r="C97" s="474"/>
      <c r="D97" s="196" t="s">
        <v>24</v>
      </c>
    </row>
    <row r="98" spans="1:4" s="60" customFormat="1" x14ac:dyDescent="0.2">
      <c r="A98" s="34" t="s">
        <v>3</v>
      </c>
      <c r="B98" s="475" t="s">
        <v>96</v>
      </c>
      <c r="C98" s="476"/>
      <c r="D98" s="120">
        <f>+'Calculo 44h Desarm'!C234</f>
        <v>0</v>
      </c>
    </row>
    <row r="99" spans="1:4" s="60" customFormat="1" ht="30" customHeight="1" x14ac:dyDescent="0.2">
      <c r="A99" s="34" t="s">
        <v>4</v>
      </c>
      <c r="B99" s="490" t="s">
        <v>98</v>
      </c>
      <c r="C99" s="491"/>
      <c r="D99" s="384"/>
    </row>
    <row r="100" spans="1:4" s="60" customFormat="1" ht="30.75" customHeight="1" x14ac:dyDescent="0.2">
      <c r="A100" s="34" t="s">
        <v>5</v>
      </c>
      <c r="B100" s="490" t="s">
        <v>97</v>
      </c>
      <c r="C100" s="491"/>
      <c r="D100" s="384"/>
    </row>
    <row r="101" spans="1:4" x14ac:dyDescent="0.2">
      <c r="A101" s="6" t="s">
        <v>6</v>
      </c>
      <c r="B101" s="470" t="s">
        <v>36</v>
      </c>
      <c r="C101" s="471"/>
      <c r="D101" s="8"/>
    </row>
    <row r="102" spans="1:4" x14ac:dyDescent="0.2">
      <c r="A102" s="474" t="s">
        <v>29</v>
      </c>
      <c r="B102" s="474"/>
      <c r="C102" s="474"/>
      <c r="D102" s="9">
        <f>SUM(D98:D101)</f>
        <v>0</v>
      </c>
    </row>
    <row r="103" spans="1:4" x14ac:dyDescent="0.2">
      <c r="D103" s="15"/>
    </row>
    <row r="104" spans="1:4" x14ac:dyDescent="0.2">
      <c r="A104" s="13" t="s">
        <v>91</v>
      </c>
      <c r="B104" s="474" t="s">
        <v>100</v>
      </c>
      <c r="C104" s="474"/>
      <c r="D104" s="196" t="s">
        <v>24</v>
      </c>
    </row>
    <row r="105" spans="1:4" s="50" customFormat="1" ht="30.75" customHeight="1" x14ac:dyDescent="0.2">
      <c r="A105" s="108" t="s">
        <v>3</v>
      </c>
      <c r="B105" s="492" t="s">
        <v>288</v>
      </c>
      <c r="C105" s="492"/>
      <c r="D105" s="49"/>
    </row>
    <row r="106" spans="1:4" x14ac:dyDescent="0.2">
      <c r="A106" s="474" t="s">
        <v>29</v>
      </c>
      <c r="B106" s="474"/>
      <c r="C106" s="474"/>
      <c r="D106" s="9">
        <f>SUM(D105:D105)</f>
        <v>0</v>
      </c>
    </row>
    <row r="108" spans="1:4" x14ac:dyDescent="0.2">
      <c r="A108" s="494" t="s">
        <v>109</v>
      </c>
      <c r="B108" s="494"/>
      <c r="C108" s="494"/>
      <c r="D108" s="494"/>
    </row>
    <row r="109" spans="1:4" x14ac:dyDescent="0.2">
      <c r="A109" s="6" t="s">
        <v>85</v>
      </c>
      <c r="B109" s="470" t="s">
        <v>86</v>
      </c>
      <c r="C109" s="471"/>
      <c r="D109" s="18">
        <f>+D95</f>
        <v>0</v>
      </c>
    </row>
    <row r="110" spans="1:4" x14ac:dyDescent="0.2">
      <c r="A110" s="6" t="s">
        <v>99</v>
      </c>
      <c r="B110" s="470" t="s">
        <v>92</v>
      </c>
      <c r="C110" s="471"/>
      <c r="D110" s="18">
        <f>+D102</f>
        <v>0</v>
      </c>
    </row>
    <row r="111" spans="1:4" x14ac:dyDescent="0.2">
      <c r="A111" s="74"/>
      <c r="B111" s="472" t="s">
        <v>110</v>
      </c>
      <c r="C111" s="473"/>
      <c r="D111" s="73">
        <f>+D110+D109</f>
        <v>0</v>
      </c>
    </row>
    <row r="112" spans="1:4" x14ac:dyDescent="0.2">
      <c r="A112" s="6" t="s">
        <v>91</v>
      </c>
      <c r="B112" s="470" t="s">
        <v>100</v>
      </c>
      <c r="C112" s="471"/>
      <c r="D112" s="18">
        <f>+D106</f>
        <v>0</v>
      </c>
    </row>
    <row r="113" spans="1:4" x14ac:dyDescent="0.2">
      <c r="A113" s="494" t="s">
        <v>29</v>
      </c>
      <c r="B113" s="494"/>
      <c r="C113" s="494"/>
      <c r="D113" s="71">
        <f>+D112+D111</f>
        <v>0</v>
      </c>
    </row>
    <row r="115" spans="1:4" x14ac:dyDescent="0.2">
      <c r="A115" s="455" t="s">
        <v>151</v>
      </c>
      <c r="B115" s="455"/>
      <c r="C115" s="455"/>
      <c r="D115" s="455"/>
    </row>
    <row r="117" spans="1:4" x14ac:dyDescent="0.2">
      <c r="A117" s="13">
        <v>5</v>
      </c>
      <c r="B117" s="474" t="s">
        <v>152</v>
      </c>
      <c r="C117" s="474"/>
      <c r="D117" s="196" t="s">
        <v>24</v>
      </c>
    </row>
    <row r="118" spans="1:4" x14ac:dyDescent="0.2">
      <c r="A118" s="6" t="s">
        <v>3</v>
      </c>
      <c r="B118" s="388" t="s">
        <v>153</v>
      </c>
      <c r="C118" s="388"/>
      <c r="D118" s="8">
        <f>+Uniforme!G165</f>
        <v>0</v>
      </c>
    </row>
    <row r="119" spans="1:4" x14ac:dyDescent="0.2">
      <c r="A119" s="6" t="s">
        <v>177</v>
      </c>
      <c r="B119" s="34" t="s">
        <v>178</v>
      </c>
      <c r="C119" s="29">
        <f>+$C$137+$C$138</f>
        <v>3.6499999999999998E-2</v>
      </c>
      <c r="D119" s="77">
        <f>+(C119*D118)*-1</f>
        <v>0</v>
      </c>
    </row>
    <row r="120" spans="1:4" x14ac:dyDescent="0.2">
      <c r="A120" s="6" t="s">
        <v>4</v>
      </c>
      <c r="B120" s="388" t="s">
        <v>154</v>
      </c>
      <c r="C120" s="388"/>
      <c r="D120" s="8"/>
    </row>
    <row r="121" spans="1:4" x14ac:dyDescent="0.2">
      <c r="A121" s="6" t="s">
        <v>41</v>
      </c>
      <c r="B121" s="34" t="s">
        <v>178</v>
      </c>
      <c r="C121" s="29">
        <f>+$C$137+$C$138</f>
        <v>3.6499999999999998E-2</v>
      </c>
      <c r="D121" s="77">
        <f>+(C121*D120)*-1</f>
        <v>0</v>
      </c>
    </row>
    <row r="122" spans="1:4" x14ac:dyDescent="0.2">
      <c r="A122" s="6" t="s">
        <v>5</v>
      </c>
      <c r="B122" s="388" t="s">
        <v>155</v>
      </c>
      <c r="C122" s="388"/>
      <c r="D122" s="8">
        <f>+Uniforme!F172</f>
        <v>0</v>
      </c>
    </row>
    <row r="123" spans="1:4" x14ac:dyDescent="0.2">
      <c r="A123" s="6" t="s">
        <v>161</v>
      </c>
      <c r="B123" s="34" t="s">
        <v>178</v>
      </c>
      <c r="C123" s="29">
        <f>+$C$137+$C$138</f>
        <v>3.6499999999999998E-2</v>
      </c>
      <c r="D123" s="77">
        <f>+(C123*D122)*-1</f>
        <v>0</v>
      </c>
    </row>
    <row r="124" spans="1:4" x14ac:dyDescent="0.2">
      <c r="A124" s="6" t="s">
        <v>6</v>
      </c>
      <c r="B124" s="388" t="s">
        <v>36</v>
      </c>
      <c r="C124" s="388"/>
      <c r="D124" s="8"/>
    </row>
    <row r="125" spans="1:4" x14ac:dyDescent="0.2">
      <c r="A125" s="6" t="s">
        <v>179</v>
      </c>
      <c r="B125" s="34" t="s">
        <v>178</v>
      </c>
      <c r="C125" s="29">
        <f>+$C$137+$C$138</f>
        <v>3.6499999999999998E-2</v>
      </c>
      <c r="D125" s="77">
        <f>+(C125*D124)*-1</f>
        <v>0</v>
      </c>
    </row>
    <row r="126" spans="1:4" x14ac:dyDescent="0.2">
      <c r="A126" s="474" t="s">
        <v>29</v>
      </c>
      <c r="B126" s="474"/>
      <c r="C126" s="474"/>
      <c r="D126" s="9">
        <f>SUM(D118:D124)</f>
        <v>0</v>
      </c>
    </row>
    <row r="128" spans="1:4" x14ac:dyDescent="0.2">
      <c r="A128" s="455" t="s">
        <v>156</v>
      </c>
      <c r="B128" s="455"/>
      <c r="C128" s="455"/>
      <c r="D128" s="455"/>
    </row>
    <row r="130" spans="1:4" x14ac:dyDescent="0.2">
      <c r="A130" s="13">
        <v>6</v>
      </c>
      <c r="B130" s="14" t="s">
        <v>157</v>
      </c>
      <c r="C130" s="199" t="s">
        <v>50</v>
      </c>
      <c r="D130" s="196" t="s">
        <v>24</v>
      </c>
    </row>
    <row r="131" spans="1:4" x14ac:dyDescent="0.2">
      <c r="A131" s="116" t="s">
        <v>3</v>
      </c>
      <c r="B131" s="116" t="s">
        <v>158</v>
      </c>
      <c r="C131" s="114">
        <v>0.03</v>
      </c>
      <c r="D131" s="377">
        <f>($D$126+$D$113+$D$81+$D$70+$D$25)*C131</f>
        <v>0</v>
      </c>
    </row>
    <row r="132" spans="1:4" x14ac:dyDescent="0.2">
      <c r="A132" s="116" t="s">
        <v>4</v>
      </c>
      <c r="B132" s="116" t="s">
        <v>159</v>
      </c>
      <c r="C132" s="114">
        <v>0.03</v>
      </c>
      <c r="D132" s="377">
        <f>($D$126+$D$113+$D$81+$D$70+$D$25+D131)*C132</f>
        <v>0</v>
      </c>
    </row>
    <row r="133" spans="1:4" s="79" customFormat="1" x14ac:dyDescent="0.2">
      <c r="A133" s="495" t="s">
        <v>181</v>
      </c>
      <c r="B133" s="496"/>
      <c r="C133" s="497"/>
      <c r="D133" s="81">
        <f>++D132+D131+D126+D113+D81+D70+D25</f>
        <v>0</v>
      </c>
    </row>
    <row r="134" spans="1:4" s="79" customFormat="1" x14ac:dyDescent="0.2">
      <c r="A134" s="498" t="s">
        <v>182</v>
      </c>
      <c r="B134" s="499"/>
      <c r="C134" s="500"/>
      <c r="D134" s="81">
        <f>ROUND(D133/(1-(C137+C138+C140+C142+C143)),2)</f>
        <v>0</v>
      </c>
    </row>
    <row r="135" spans="1:4" x14ac:dyDescent="0.2">
      <c r="A135" s="6" t="s">
        <v>5</v>
      </c>
      <c r="B135" s="6" t="s">
        <v>160</v>
      </c>
      <c r="C135" s="17"/>
      <c r="D135" s="6"/>
    </row>
    <row r="136" spans="1:4" x14ac:dyDescent="0.2">
      <c r="A136" s="6" t="s">
        <v>161</v>
      </c>
      <c r="B136" s="6" t="s">
        <v>162</v>
      </c>
      <c r="C136" s="17"/>
      <c r="D136" s="6"/>
    </row>
    <row r="137" spans="1:4" x14ac:dyDescent="0.2">
      <c r="A137" s="116" t="s">
        <v>163</v>
      </c>
      <c r="B137" s="116" t="s">
        <v>165</v>
      </c>
      <c r="C137" s="114">
        <v>6.4999999999999997E-3</v>
      </c>
      <c r="D137" s="377">
        <f>ROUND(C137*$D$134,2)</f>
        <v>0</v>
      </c>
    </row>
    <row r="138" spans="1:4" x14ac:dyDescent="0.2">
      <c r="A138" s="116" t="s">
        <v>164</v>
      </c>
      <c r="B138" s="116" t="s">
        <v>166</v>
      </c>
      <c r="C138" s="114">
        <v>0.03</v>
      </c>
      <c r="D138" s="377">
        <f>ROUND(C138*$D$134,2)</f>
        <v>0</v>
      </c>
    </row>
    <row r="139" spans="1:4" x14ac:dyDescent="0.2">
      <c r="A139" s="6" t="s">
        <v>167</v>
      </c>
      <c r="B139" s="6" t="s">
        <v>168</v>
      </c>
      <c r="C139" s="17"/>
      <c r="D139" s="18"/>
    </row>
    <row r="140" spans="1:4" x14ac:dyDescent="0.2">
      <c r="A140" s="6" t="s">
        <v>170</v>
      </c>
      <c r="B140" s="6" t="s">
        <v>169</v>
      </c>
      <c r="C140" s="17"/>
      <c r="D140" s="6"/>
    </row>
    <row r="141" spans="1:4" x14ac:dyDescent="0.2">
      <c r="A141" s="6" t="s">
        <v>171</v>
      </c>
      <c r="B141" s="6" t="s">
        <v>172</v>
      </c>
      <c r="C141" s="17"/>
      <c r="D141" s="6"/>
    </row>
    <row r="142" spans="1:4" x14ac:dyDescent="0.2">
      <c r="A142" s="116" t="s">
        <v>173</v>
      </c>
      <c r="B142" s="116" t="s">
        <v>174</v>
      </c>
      <c r="C142" s="114">
        <v>0.05</v>
      </c>
      <c r="D142" s="377">
        <f>ROUND(C142*$D$134,2)</f>
        <v>0</v>
      </c>
    </row>
    <row r="143" spans="1:4" x14ac:dyDescent="0.2">
      <c r="A143" s="6" t="s">
        <v>175</v>
      </c>
      <c r="B143" s="6" t="s">
        <v>176</v>
      </c>
      <c r="C143" s="17"/>
      <c r="D143" s="6"/>
    </row>
    <row r="144" spans="1:4" x14ac:dyDescent="0.2">
      <c r="A144" s="463" t="s">
        <v>29</v>
      </c>
      <c r="B144" s="464"/>
      <c r="C144" s="80">
        <f>+C143+C142+C140+C138+C137+C132+C131</f>
        <v>0.14650000000000002</v>
      </c>
      <c r="D144" s="9">
        <f>+D142+D140+D138+D137+D132+D131</f>
        <v>0</v>
      </c>
    </row>
    <row r="146" spans="1:4" x14ac:dyDescent="0.2">
      <c r="A146" s="501" t="s">
        <v>183</v>
      </c>
      <c r="B146" s="501"/>
      <c r="C146" s="501"/>
      <c r="D146" s="501"/>
    </row>
    <row r="147" spans="1:4" x14ac:dyDescent="0.2">
      <c r="A147" s="6" t="s">
        <v>3</v>
      </c>
      <c r="B147" s="456" t="s">
        <v>185</v>
      </c>
      <c r="C147" s="456"/>
      <c r="D147" s="8">
        <f>+D25</f>
        <v>0</v>
      </c>
    </row>
    <row r="148" spans="1:4" x14ac:dyDescent="0.2">
      <c r="A148" s="6" t="s">
        <v>184</v>
      </c>
      <c r="B148" s="456" t="s">
        <v>186</v>
      </c>
      <c r="C148" s="456"/>
      <c r="D148" s="8">
        <f>+D70</f>
        <v>0</v>
      </c>
    </row>
    <row r="149" spans="1:4" x14ac:dyDescent="0.2">
      <c r="A149" s="6" t="s">
        <v>5</v>
      </c>
      <c r="B149" s="456" t="s">
        <v>187</v>
      </c>
      <c r="C149" s="456"/>
      <c r="D149" s="8">
        <f>+D81</f>
        <v>0</v>
      </c>
    </row>
    <row r="150" spans="1:4" x14ac:dyDescent="0.2">
      <c r="A150" s="6" t="s">
        <v>6</v>
      </c>
      <c r="B150" s="456" t="s">
        <v>188</v>
      </c>
      <c r="C150" s="456"/>
      <c r="D150" s="8">
        <f>+D113</f>
        <v>0</v>
      </c>
    </row>
    <row r="151" spans="1:4" x14ac:dyDescent="0.2">
      <c r="A151" s="6" t="s">
        <v>25</v>
      </c>
      <c r="B151" s="456" t="s">
        <v>189</v>
      </c>
      <c r="C151" s="456"/>
      <c r="D151" s="8">
        <f>+D126</f>
        <v>0</v>
      </c>
    </row>
    <row r="152" spans="1:4" x14ac:dyDescent="0.2">
      <c r="B152" s="457" t="s">
        <v>192</v>
      </c>
      <c r="C152" s="457"/>
      <c r="D152" s="72">
        <f>SUM(D147:D151)</f>
        <v>0</v>
      </c>
    </row>
    <row r="153" spans="1:4" x14ac:dyDescent="0.2">
      <c r="A153" s="6" t="s">
        <v>26</v>
      </c>
      <c r="B153" s="456" t="s">
        <v>190</v>
      </c>
      <c r="C153" s="456"/>
      <c r="D153" s="8">
        <f>+D144</f>
        <v>0</v>
      </c>
    </row>
    <row r="155" spans="1:4" x14ac:dyDescent="0.2">
      <c r="A155" s="524" t="s">
        <v>191</v>
      </c>
      <c r="B155" s="524"/>
      <c r="C155" s="524"/>
      <c r="D155" s="82">
        <f>ROUND(+D153+D152,2)</f>
        <v>0</v>
      </c>
    </row>
    <row r="157" spans="1:4" x14ac:dyDescent="0.2">
      <c r="A157" s="459" t="s">
        <v>77</v>
      </c>
      <c r="B157" s="459"/>
      <c r="C157" s="459"/>
      <c r="D157" s="459"/>
    </row>
    <row r="159" spans="1:4" x14ac:dyDescent="0.2">
      <c r="A159" s="6" t="s">
        <v>3</v>
      </c>
      <c r="B159" s="6" t="s">
        <v>46</v>
      </c>
      <c r="C159" s="44" t="e">
        <f>+C31</f>
        <v>#DIV/0!</v>
      </c>
      <c r="D159" s="8">
        <f>+D31</f>
        <v>0</v>
      </c>
    </row>
    <row r="160" spans="1:4" x14ac:dyDescent="0.2">
      <c r="A160" s="6" t="s">
        <v>4</v>
      </c>
      <c r="B160" s="6" t="s">
        <v>45</v>
      </c>
      <c r="C160" s="44" t="e">
        <f>+C33</f>
        <v>#DIV/0!</v>
      </c>
      <c r="D160" s="8">
        <f>+D33</f>
        <v>0</v>
      </c>
    </row>
    <row r="161" spans="1:5" x14ac:dyDescent="0.2">
      <c r="A161" s="6" t="s">
        <v>5</v>
      </c>
      <c r="B161" s="6" t="s">
        <v>44</v>
      </c>
      <c r="C161" s="44" t="e">
        <f>+C34</f>
        <v>#DIV/0!</v>
      </c>
      <c r="D161" s="8">
        <f>+D34</f>
        <v>0</v>
      </c>
    </row>
    <row r="162" spans="1:5" ht="25.5" x14ac:dyDescent="0.2">
      <c r="A162" s="6" t="s">
        <v>6</v>
      </c>
      <c r="B162" s="30" t="s">
        <v>75</v>
      </c>
      <c r="C162" s="17" t="e">
        <f>+C77</f>
        <v>#DIV/0!</v>
      </c>
      <c r="D162" s="8">
        <f>+D77</f>
        <v>0</v>
      </c>
    </row>
    <row r="163" spans="1:5" ht="25.5" x14ac:dyDescent="0.2">
      <c r="A163" s="6" t="s">
        <v>25</v>
      </c>
      <c r="B163" s="30" t="s">
        <v>76</v>
      </c>
      <c r="C163" s="44" t="e">
        <f>+C80</f>
        <v>#DIV/0!</v>
      </c>
      <c r="D163" s="18">
        <f>+D80</f>
        <v>0</v>
      </c>
    </row>
    <row r="164" spans="1:5" x14ac:dyDescent="0.2">
      <c r="A164" s="6" t="s">
        <v>81</v>
      </c>
      <c r="B164" s="34" t="s">
        <v>79</v>
      </c>
      <c r="C164" s="458" t="e">
        <f>+(D164+D165+D166)/D25</f>
        <v>#DIV/0!</v>
      </c>
      <c r="D164" s="8">
        <f>ROUND(D31*(SUM($C$39:$C$46)),2)</f>
        <v>0</v>
      </c>
    </row>
    <row r="165" spans="1:5" x14ac:dyDescent="0.2">
      <c r="A165" s="6" t="s">
        <v>82</v>
      </c>
      <c r="B165" s="34" t="s">
        <v>78</v>
      </c>
      <c r="C165" s="458"/>
      <c r="D165" s="8">
        <f>ROUND(D33*(SUM($C$39:$C$46)),2)</f>
        <v>0</v>
      </c>
    </row>
    <row r="166" spans="1:5" x14ac:dyDescent="0.2">
      <c r="A166" s="6" t="s">
        <v>83</v>
      </c>
      <c r="B166" s="34" t="s">
        <v>80</v>
      </c>
      <c r="C166" s="458"/>
      <c r="D166" s="8">
        <f>ROUND(D34*(SUM($C$39:$C$46)),2)</f>
        <v>0</v>
      </c>
    </row>
    <row r="167" spans="1:5" x14ac:dyDescent="0.2">
      <c r="A167" s="460" t="s">
        <v>29</v>
      </c>
      <c r="B167" s="461"/>
      <c r="C167" s="462"/>
      <c r="D167" s="45">
        <f>SUM(D159:D166)</f>
        <v>0</v>
      </c>
    </row>
    <row r="168" spans="1:5" x14ac:dyDescent="0.2">
      <c r="B168" s="96"/>
      <c r="C168" s="96"/>
      <c r="D168" s="96"/>
    </row>
    <row r="169" spans="1:5" s="67" customFormat="1" ht="44.25" customHeight="1" x14ac:dyDescent="0.2">
      <c r="A169" s="452" t="s">
        <v>289</v>
      </c>
      <c r="B169" s="452"/>
      <c r="C169" s="452"/>
      <c r="D169" s="452"/>
      <c r="E169" s="128"/>
    </row>
    <row r="170" spans="1:5" x14ac:dyDescent="0.2">
      <c r="A170" s="97"/>
      <c r="B170" s="97"/>
      <c r="C170" s="97"/>
      <c r="D170" s="97"/>
      <c r="E170" s="97"/>
    </row>
    <row r="171" spans="1:5" ht="41.25" customHeight="1" x14ac:dyDescent="0.2">
      <c r="A171" s="453" t="s">
        <v>290</v>
      </c>
      <c r="B171" s="453"/>
      <c r="C171" s="453"/>
      <c r="D171" s="453"/>
      <c r="E171" s="97"/>
    </row>
    <row r="172" spans="1:5" x14ac:dyDescent="0.2">
      <c r="A172" s="97"/>
      <c r="B172" s="97"/>
      <c r="C172" s="97"/>
      <c r="D172" s="97"/>
      <c r="E172" s="97"/>
    </row>
    <row r="173" spans="1:5" x14ac:dyDescent="0.2">
      <c r="A173" s="97"/>
      <c r="B173" s="97"/>
      <c r="C173" s="97"/>
      <c r="D173" s="97"/>
      <c r="E173" s="97"/>
    </row>
    <row r="174" spans="1:5" x14ac:dyDescent="0.2">
      <c r="A174" s="97"/>
      <c r="B174" s="97"/>
      <c r="C174" s="97"/>
      <c r="D174" s="97"/>
      <c r="E174" s="97"/>
    </row>
    <row r="175" spans="1:5" x14ac:dyDescent="0.2">
      <c r="A175" s="97"/>
      <c r="B175" s="97"/>
      <c r="C175" s="97"/>
      <c r="D175" s="97"/>
      <c r="E175" s="97"/>
    </row>
    <row r="176" spans="1:5" x14ac:dyDescent="0.2">
      <c r="A176" s="97"/>
      <c r="B176" s="97"/>
      <c r="C176" s="97"/>
      <c r="D176" s="97"/>
      <c r="E176" s="97"/>
    </row>
    <row r="177" spans="1:5" x14ac:dyDescent="0.2">
      <c r="A177" s="97"/>
      <c r="B177" s="97"/>
      <c r="C177" s="97"/>
      <c r="D177" s="97"/>
      <c r="E177" s="97"/>
    </row>
    <row r="178" spans="1:5" x14ac:dyDescent="0.2">
      <c r="A178" s="97"/>
      <c r="B178" s="97"/>
      <c r="C178" s="97"/>
      <c r="D178" s="97"/>
      <c r="E178" s="97"/>
    </row>
    <row r="179" spans="1:5" x14ac:dyDescent="0.2">
      <c r="A179" s="97"/>
      <c r="B179" s="97"/>
      <c r="C179" s="97"/>
      <c r="D179" s="97"/>
      <c r="E179" s="97"/>
    </row>
    <row r="180" spans="1:5" x14ac:dyDescent="0.2">
      <c r="A180" s="97"/>
      <c r="B180" s="97"/>
      <c r="C180" s="97"/>
      <c r="D180" s="97"/>
      <c r="E180" s="97"/>
    </row>
    <row r="181" spans="1:5" x14ac:dyDescent="0.2">
      <c r="A181" s="97"/>
      <c r="B181" s="97"/>
      <c r="C181" s="97"/>
      <c r="D181" s="97"/>
      <c r="E181" s="97"/>
    </row>
    <row r="182" spans="1:5" x14ac:dyDescent="0.2">
      <c r="A182" s="97"/>
      <c r="B182" s="97"/>
      <c r="C182" s="97"/>
      <c r="D182" s="97"/>
      <c r="E182" s="97"/>
    </row>
    <row r="183" spans="1:5" x14ac:dyDescent="0.2">
      <c r="A183" s="97"/>
      <c r="B183" s="97"/>
      <c r="C183" s="97"/>
      <c r="D183" s="97"/>
      <c r="E183" s="97"/>
    </row>
    <row r="184" spans="1:5" x14ac:dyDescent="0.2">
      <c r="A184" s="97"/>
      <c r="B184" s="97"/>
      <c r="C184" s="97"/>
      <c r="D184" s="97"/>
      <c r="E184" s="97"/>
    </row>
    <row r="185" spans="1:5" x14ac:dyDescent="0.2">
      <c r="A185" s="97"/>
      <c r="B185" s="97"/>
      <c r="C185" s="97"/>
      <c r="D185" s="97"/>
      <c r="E185" s="97"/>
    </row>
  </sheetData>
  <mergeCells count="85">
    <mergeCell ref="A171:D171"/>
    <mergeCell ref="B153:C153"/>
    <mergeCell ref="A155:C155"/>
    <mergeCell ref="A157:D157"/>
    <mergeCell ref="C164:C166"/>
    <mergeCell ref="A167:C167"/>
    <mergeCell ref="A169:D169"/>
    <mergeCell ref="B152:C152"/>
    <mergeCell ref="A126:C126"/>
    <mergeCell ref="A128:D128"/>
    <mergeCell ref="A133:C133"/>
    <mergeCell ref="A134:C134"/>
    <mergeCell ref="A144:B144"/>
    <mergeCell ref="A146:D146"/>
    <mergeCell ref="B147:C147"/>
    <mergeCell ref="B148:C148"/>
    <mergeCell ref="B149:C149"/>
    <mergeCell ref="B150:C150"/>
    <mergeCell ref="B151:C151"/>
    <mergeCell ref="B124:C124"/>
    <mergeCell ref="A108:D108"/>
    <mergeCell ref="B109:C109"/>
    <mergeCell ref="B110:C110"/>
    <mergeCell ref="B111:C111"/>
    <mergeCell ref="B112:C112"/>
    <mergeCell ref="A113:C113"/>
    <mergeCell ref="A115:D115"/>
    <mergeCell ref="B117:C117"/>
    <mergeCell ref="B118:C118"/>
    <mergeCell ref="B120:C120"/>
    <mergeCell ref="B122:C122"/>
    <mergeCell ref="A106:C106"/>
    <mergeCell ref="B93:C93"/>
    <mergeCell ref="B94:C94"/>
    <mergeCell ref="A95:C95"/>
    <mergeCell ref="B97:C97"/>
    <mergeCell ref="B98:C98"/>
    <mergeCell ref="B99:C99"/>
    <mergeCell ref="B100:C100"/>
    <mergeCell ref="B101:C101"/>
    <mergeCell ref="A102:C102"/>
    <mergeCell ref="B104:C104"/>
    <mergeCell ref="B105:C105"/>
    <mergeCell ref="B92:C92"/>
    <mergeCell ref="A70:C70"/>
    <mergeCell ref="A72:D72"/>
    <mergeCell ref="A81:C81"/>
    <mergeCell ref="A83:D83"/>
    <mergeCell ref="A85:D85"/>
    <mergeCell ref="B86:C86"/>
    <mergeCell ref="B87:C87"/>
    <mergeCell ref="B88:C88"/>
    <mergeCell ref="B89:C89"/>
    <mergeCell ref="B90:C90"/>
    <mergeCell ref="B91:C91"/>
    <mergeCell ref="B69:C69"/>
    <mergeCell ref="A27:D27"/>
    <mergeCell ref="A29:D29"/>
    <mergeCell ref="A35:C35"/>
    <mergeCell ref="A37:D37"/>
    <mergeCell ref="A49:D49"/>
    <mergeCell ref="B61:C61"/>
    <mergeCell ref="A63:B63"/>
    <mergeCell ref="A65:D65"/>
    <mergeCell ref="B66:C66"/>
    <mergeCell ref="B67:C67"/>
    <mergeCell ref="B68:C68"/>
    <mergeCell ref="A25:C25"/>
    <mergeCell ref="C9:D9"/>
    <mergeCell ref="A11:D11"/>
    <mergeCell ref="B13:C13"/>
    <mergeCell ref="B16:C16"/>
    <mergeCell ref="B17:C17"/>
    <mergeCell ref="B18:C18"/>
    <mergeCell ref="B19:C19"/>
    <mergeCell ref="B20:C20"/>
    <mergeCell ref="B22:C22"/>
    <mergeCell ref="B23:C23"/>
    <mergeCell ref="B24:C24"/>
    <mergeCell ref="C8:D8"/>
    <mergeCell ref="A1:D1"/>
    <mergeCell ref="A4:D4"/>
    <mergeCell ref="C5:D5"/>
    <mergeCell ref="C6:D6"/>
    <mergeCell ref="C7:D7"/>
  </mergeCells>
  <pageMargins left="1.19" right="0.51181102362204722" top="0.34" bottom="0.56999999999999995" header="0.31496062992125984" footer="0.31496062992125984"/>
  <pageSetup paperSize="9" scale="90" orientation="portrait" r:id="rId1"/>
  <headerFooter>
    <oddFooter>&amp;A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>
    <tabColor rgb="FFFFFF00"/>
  </sheetPr>
  <dimension ref="A1:D244"/>
  <sheetViews>
    <sheetView workbookViewId="0">
      <selection activeCell="C5" sqref="C5"/>
    </sheetView>
  </sheetViews>
  <sheetFormatPr defaultRowHeight="12.75" x14ac:dyDescent="0.2"/>
  <cols>
    <col min="1" max="1" width="64.5" customWidth="1"/>
    <col min="2" max="3" width="12.25" bestFit="1" customWidth="1"/>
    <col min="4" max="4" width="9.375" bestFit="1" customWidth="1"/>
    <col min="5" max="5" width="69.125" customWidth="1"/>
  </cols>
  <sheetData>
    <row r="1" spans="1:3" ht="16.5" x14ac:dyDescent="0.25">
      <c r="A1" s="573" t="s">
        <v>368</v>
      </c>
      <c r="B1" s="573"/>
      <c r="C1" s="573"/>
    </row>
    <row r="3" spans="1:3" x14ac:dyDescent="0.2">
      <c r="A3" s="6" t="s">
        <v>345</v>
      </c>
      <c r="B3" s="6">
        <v>220</v>
      </c>
    </row>
    <row r="4" spans="1:3" x14ac:dyDescent="0.2">
      <c r="A4" s="6" t="s">
        <v>228</v>
      </c>
      <c r="B4" s="6">
        <v>365.25</v>
      </c>
    </row>
    <row r="5" spans="1:3" x14ac:dyDescent="0.2">
      <c r="A5" s="6" t="s">
        <v>230</v>
      </c>
      <c r="B5" s="51">
        <f>(365.25/12)/(7/5)</f>
        <v>21.741071428571431</v>
      </c>
    </row>
    <row r="6" spans="1:3" x14ac:dyDescent="0.2">
      <c r="A6" s="34" t="s">
        <v>30</v>
      </c>
      <c r="B6" s="18">
        <f>+'Vigilante 44h Desarm'!D13</f>
        <v>0</v>
      </c>
    </row>
    <row r="7" spans="1:3" x14ac:dyDescent="0.2">
      <c r="A7" s="34" t="s">
        <v>241</v>
      </c>
      <c r="B7" s="18">
        <f>+'Vigilante 44h Desarm'!D25</f>
        <v>0</v>
      </c>
    </row>
    <row r="9" spans="1:3" x14ac:dyDescent="0.2">
      <c r="A9" s="503" t="s">
        <v>209</v>
      </c>
      <c r="B9" s="503"/>
      <c r="C9" s="503"/>
    </row>
    <row r="10" spans="1:3" x14ac:dyDescent="0.2">
      <c r="A10" s="6" t="s">
        <v>30</v>
      </c>
      <c r="B10" s="52"/>
      <c r="C10" s="90">
        <f>+'Vigilante 44h Desarm'!D13</f>
        <v>0</v>
      </c>
    </row>
    <row r="11" spans="1:3" x14ac:dyDescent="0.2">
      <c r="A11" s="6" t="s">
        <v>31</v>
      </c>
      <c r="B11" s="52"/>
      <c r="C11" s="90">
        <f>+'Vigilante 44h Desarm'!D14</f>
        <v>0</v>
      </c>
    </row>
    <row r="12" spans="1:3" x14ac:dyDescent="0.2">
      <c r="A12" s="6" t="s">
        <v>32</v>
      </c>
      <c r="B12" s="52"/>
      <c r="C12" s="90">
        <f>+'Vigilante 44h Desarm'!D15</f>
        <v>0</v>
      </c>
    </row>
    <row r="13" spans="1:3" x14ac:dyDescent="0.2">
      <c r="A13" s="6" t="s">
        <v>33</v>
      </c>
      <c r="B13" s="52"/>
      <c r="C13" s="90">
        <f>+'Vigilante 44h Desarm'!D16</f>
        <v>0</v>
      </c>
    </row>
    <row r="14" spans="1:3" x14ac:dyDescent="0.2">
      <c r="A14" s="6" t="s">
        <v>34</v>
      </c>
      <c r="B14" s="52"/>
      <c r="C14" s="90">
        <f>+'Vigilante 44h Desarm'!D17</f>
        <v>0</v>
      </c>
    </row>
    <row r="15" spans="1:3" x14ac:dyDescent="0.2">
      <c r="A15" t="s">
        <v>65</v>
      </c>
      <c r="B15" s="52"/>
      <c r="C15" s="90">
        <f>+'Vigilante 44h Desarm'!D21</f>
        <v>0</v>
      </c>
    </row>
    <row r="16" spans="1:3" x14ac:dyDescent="0.2">
      <c r="A16" s="6" t="s">
        <v>344</v>
      </c>
      <c r="B16" s="52"/>
      <c r="C16" s="90">
        <f>+'Vigilante 44h Desarm'!D23</f>
        <v>0</v>
      </c>
    </row>
    <row r="17" spans="1:3" x14ac:dyDescent="0.2">
      <c r="A17" s="35" t="s">
        <v>193</v>
      </c>
      <c r="B17" s="101"/>
      <c r="C17" s="102">
        <f>SUM(C10:C16)</f>
        <v>0</v>
      </c>
    </row>
    <row r="18" spans="1:3" x14ac:dyDescent="0.2">
      <c r="A18" s="6" t="s">
        <v>102</v>
      </c>
      <c r="B18" s="57">
        <f>+B3</f>
        <v>220</v>
      </c>
      <c r="C18" s="54"/>
    </row>
    <row r="19" spans="1:3" x14ac:dyDescent="0.2">
      <c r="A19" s="35" t="s">
        <v>103</v>
      </c>
      <c r="B19" s="101"/>
      <c r="C19" s="36">
        <f>+C17/B18</f>
        <v>0</v>
      </c>
    </row>
    <row r="20" spans="1:3" x14ac:dyDescent="0.2">
      <c r="A20" s="6" t="s">
        <v>197</v>
      </c>
      <c r="B20" s="6">
        <v>12</v>
      </c>
      <c r="C20" s="54"/>
    </row>
    <row r="21" spans="1:3" x14ac:dyDescent="0.2">
      <c r="A21" s="6" t="s">
        <v>198</v>
      </c>
      <c r="B21" s="6">
        <f>44/5</f>
        <v>8.8000000000000007</v>
      </c>
      <c r="C21" s="54"/>
    </row>
    <row r="22" spans="1:3" x14ac:dyDescent="0.2">
      <c r="A22" s="6" t="s">
        <v>199</v>
      </c>
      <c r="B22" s="6">
        <f>+B21*B20</f>
        <v>105.60000000000001</v>
      </c>
      <c r="C22" s="8">
        <f>+B22*C19</f>
        <v>0</v>
      </c>
    </row>
    <row r="23" spans="1:3" x14ac:dyDescent="0.2">
      <c r="A23" s="6" t="s">
        <v>200</v>
      </c>
      <c r="B23" s="17">
        <v>1</v>
      </c>
      <c r="C23" s="8">
        <f>+B23*C22</f>
        <v>0</v>
      </c>
    </row>
    <row r="24" spans="1:3" x14ac:dyDescent="0.2">
      <c r="A24" s="6" t="s">
        <v>201</v>
      </c>
      <c r="B24" s="17">
        <v>1</v>
      </c>
      <c r="C24" s="8">
        <f>+B24*C23</f>
        <v>0</v>
      </c>
    </row>
    <row r="25" spans="1:3" x14ac:dyDescent="0.2">
      <c r="A25" s="6" t="s">
        <v>202</v>
      </c>
      <c r="B25" s="6">
        <v>12</v>
      </c>
      <c r="C25" s="91"/>
    </row>
    <row r="26" spans="1:3" x14ac:dyDescent="0.2">
      <c r="A26" s="504" t="s">
        <v>203</v>
      </c>
      <c r="B26" s="505"/>
      <c r="C26" s="45">
        <f>+C24/B25</f>
        <v>0</v>
      </c>
    </row>
    <row r="27" spans="1:3" x14ac:dyDescent="0.2">
      <c r="C27" s="15"/>
    </row>
    <row r="28" spans="1:3" x14ac:dyDescent="0.2">
      <c r="A28" s="503" t="s">
        <v>210</v>
      </c>
      <c r="B28" s="503"/>
      <c r="C28" s="503"/>
    </row>
    <row r="29" spans="1:3" x14ac:dyDescent="0.2">
      <c r="A29" s="6" t="s">
        <v>103</v>
      </c>
      <c r="B29" s="52"/>
      <c r="C29" s="90">
        <v>0</v>
      </c>
    </row>
    <row r="30" spans="1:3" x14ac:dyDescent="0.2">
      <c r="A30" s="6" t="s">
        <v>199</v>
      </c>
      <c r="B30" s="6">
        <v>192</v>
      </c>
      <c r="C30" s="54"/>
    </row>
    <row r="31" spans="1:3" x14ac:dyDescent="0.2">
      <c r="A31" s="6" t="s">
        <v>204</v>
      </c>
      <c r="B31" s="6">
        <f>+$B$4</f>
        <v>365.25</v>
      </c>
      <c r="C31" s="54"/>
    </row>
    <row r="32" spans="1:3" x14ac:dyDescent="0.2">
      <c r="A32" s="6" t="s">
        <v>197</v>
      </c>
      <c r="B32" s="6">
        <v>12</v>
      </c>
      <c r="C32" s="54"/>
    </row>
    <row r="33" spans="1:3" x14ac:dyDescent="0.2">
      <c r="A33" s="6" t="s">
        <v>200</v>
      </c>
      <c r="B33" s="17">
        <v>1</v>
      </c>
      <c r="C33" s="54"/>
    </row>
    <row r="34" spans="1:3" x14ac:dyDescent="0.2">
      <c r="A34" s="6" t="s">
        <v>205</v>
      </c>
      <c r="B34" s="92">
        <f>ROUND(((B31/7)*6)-B32,2)</f>
        <v>301.07</v>
      </c>
      <c r="C34" s="54"/>
    </row>
    <row r="35" spans="1:3" x14ac:dyDescent="0.2">
      <c r="A35" s="6" t="s">
        <v>206</v>
      </c>
      <c r="B35" s="34">
        <v>12</v>
      </c>
      <c r="C35" s="54"/>
    </row>
    <row r="36" spans="1:3" ht="25.5" x14ac:dyDescent="0.2">
      <c r="A36" s="30" t="s">
        <v>207</v>
      </c>
      <c r="B36" s="6">
        <f>+((B30/B35)*B33)/B34</f>
        <v>5.3143787159132427E-2</v>
      </c>
      <c r="C36" s="54"/>
    </row>
    <row r="37" spans="1:3" x14ac:dyDescent="0.2">
      <c r="A37" s="24" t="s">
        <v>208</v>
      </c>
      <c r="B37" s="24"/>
      <c r="C37" s="45">
        <f>+C29*(B31-B34)*B36</f>
        <v>0</v>
      </c>
    </row>
    <row r="38" spans="1:3" x14ac:dyDescent="0.2">
      <c r="C38" s="15"/>
    </row>
    <row r="39" spans="1:3" x14ac:dyDescent="0.2">
      <c r="A39" s="503" t="s">
        <v>343</v>
      </c>
      <c r="B39" s="503"/>
      <c r="C39" s="503"/>
    </row>
    <row r="40" spans="1:3" x14ac:dyDescent="0.2">
      <c r="A40" s="6" t="s">
        <v>30</v>
      </c>
      <c r="B40" s="52"/>
      <c r="C40" s="90">
        <v>0</v>
      </c>
    </row>
    <row r="41" spans="1:3" x14ac:dyDescent="0.2">
      <c r="A41" s="6" t="s">
        <v>102</v>
      </c>
      <c r="B41" s="57">
        <f>+B3</f>
        <v>220</v>
      </c>
      <c r="C41" s="54"/>
    </row>
    <row r="42" spans="1:3" x14ac:dyDescent="0.2">
      <c r="A42" s="35" t="s">
        <v>103</v>
      </c>
      <c r="B42" s="101"/>
      <c r="C42" s="36">
        <f>+C40/B41</f>
        <v>0</v>
      </c>
    </row>
    <row r="43" spans="1:3" s="60" customFormat="1" x14ac:dyDescent="0.2">
      <c r="A43" s="6" t="s">
        <v>351</v>
      </c>
      <c r="B43" s="17">
        <v>0.5</v>
      </c>
      <c r="C43" s="181"/>
    </row>
    <row r="44" spans="1:3" s="60" customFormat="1" x14ac:dyDescent="0.2">
      <c r="A44" s="35" t="s">
        <v>352</v>
      </c>
      <c r="B44" s="104"/>
      <c r="C44" s="181">
        <f>+C42*(1+B43)</f>
        <v>0</v>
      </c>
    </row>
    <row r="45" spans="1:3" x14ac:dyDescent="0.2">
      <c r="A45" s="34" t="s">
        <v>346</v>
      </c>
      <c r="B45" s="6">
        <v>8.8000000000000007</v>
      </c>
      <c r="C45" s="54"/>
    </row>
    <row r="46" spans="1:3" x14ac:dyDescent="0.2">
      <c r="A46" s="6" t="s">
        <v>230</v>
      </c>
      <c r="B46" s="180">
        <f>+B5</f>
        <v>21.741071428571431</v>
      </c>
      <c r="C46" s="54"/>
    </row>
    <row r="47" spans="1:3" x14ac:dyDescent="0.2">
      <c r="A47" s="34" t="s">
        <v>347</v>
      </c>
      <c r="B47" s="6">
        <v>192</v>
      </c>
      <c r="C47" s="54"/>
    </row>
    <row r="48" spans="1:3" x14ac:dyDescent="0.2">
      <c r="A48" s="34" t="s">
        <v>348</v>
      </c>
      <c r="B48" s="6">
        <f>ROUND(+B46*B45,2)</f>
        <v>191.32</v>
      </c>
      <c r="C48" s="54"/>
    </row>
    <row r="49" spans="1:3" x14ac:dyDescent="0.2">
      <c r="A49" s="34" t="s">
        <v>349</v>
      </c>
      <c r="B49" s="6">
        <f>+B48-B47</f>
        <v>-0.68000000000000682</v>
      </c>
      <c r="C49" s="54"/>
    </row>
    <row r="50" spans="1:3" x14ac:dyDescent="0.2">
      <c r="A50" s="24" t="s">
        <v>350</v>
      </c>
      <c r="B50" s="24"/>
      <c r="C50" s="45">
        <f>+B49*C44</f>
        <v>0</v>
      </c>
    </row>
    <row r="51" spans="1:3" x14ac:dyDescent="0.2">
      <c r="C51" s="15"/>
    </row>
    <row r="52" spans="1:3" x14ac:dyDescent="0.2">
      <c r="A52" s="459" t="s">
        <v>107</v>
      </c>
      <c r="B52" s="459"/>
      <c r="C52" s="459"/>
    </row>
    <row r="53" spans="1:3" x14ac:dyDescent="0.2">
      <c r="A53" s="55" t="s">
        <v>30</v>
      </c>
      <c r="B53" s="86"/>
      <c r="C53" s="56">
        <v>0</v>
      </c>
    </row>
    <row r="54" spans="1:3" x14ac:dyDescent="0.2">
      <c r="A54" s="55" t="s">
        <v>31</v>
      </c>
      <c r="B54" s="58"/>
      <c r="C54" s="56">
        <f>+'Vigilante 44h Desarm'!D14</f>
        <v>0</v>
      </c>
    </row>
    <row r="55" spans="1:3" x14ac:dyDescent="0.2">
      <c r="A55" s="55" t="s">
        <v>32</v>
      </c>
      <c r="B55" s="58"/>
      <c r="C55" s="56">
        <f>+'Vigilante 44h Desarm'!D15</f>
        <v>0</v>
      </c>
    </row>
    <row r="56" spans="1:3" x14ac:dyDescent="0.2">
      <c r="A56" s="55" t="s">
        <v>33</v>
      </c>
      <c r="B56" s="58"/>
      <c r="C56" s="56">
        <f>+'Vigilante 44h Desarm'!D16</f>
        <v>0</v>
      </c>
    </row>
    <row r="57" spans="1:3" x14ac:dyDescent="0.2">
      <c r="A57" s="55" t="s">
        <v>34</v>
      </c>
      <c r="B57" s="58"/>
      <c r="C57" s="56">
        <f>+'Vigilante 44h Desarm'!D17</f>
        <v>0</v>
      </c>
    </row>
    <row r="58" spans="1:3" x14ac:dyDescent="0.2">
      <c r="A58" s="55" t="s">
        <v>35</v>
      </c>
      <c r="B58" s="58"/>
      <c r="C58" s="56">
        <f>+'Vigilante 44h Desarm'!D19</f>
        <v>0</v>
      </c>
    </row>
    <row r="59" spans="1:3" x14ac:dyDescent="0.2">
      <c r="A59" s="55" t="s">
        <v>65</v>
      </c>
      <c r="B59" s="58"/>
      <c r="C59" s="56">
        <f>+'Vigilante 44h Desarm'!D21</f>
        <v>0</v>
      </c>
    </row>
    <row r="60" spans="1:3" x14ac:dyDescent="0.2">
      <c r="A60" s="35" t="s">
        <v>101</v>
      </c>
      <c r="B60" s="99"/>
      <c r="C60" s="100">
        <f>SUM(C53:C59)</f>
        <v>0</v>
      </c>
    </row>
    <row r="61" spans="1:3" x14ac:dyDescent="0.2">
      <c r="A61" s="6" t="s">
        <v>102</v>
      </c>
      <c r="B61" s="57">
        <f>+B3</f>
        <v>220</v>
      </c>
      <c r="C61" s="58"/>
    </row>
    <row r="62" spans="1:3" x14ac:dyDescent="0.2">
      <c r="A62" s="6" t="s">
        <v>103</v>
      </c>
      <c r="B62" s="58"/>
      <c r="C62" s="59">
        <f>ROUND(+C60/B61,2)</f>
        <v>0</v>
      </c>
    </row>
    <row r="63" spans="1:3" x14ac:dyDescent="0.2">
      <c r="A63" s="6" t="s">
        <v>229</v>
      </c>
      <c r="B63" s="51">
        <f>(365.25/12)/(7/5)</f>
        <v>21.741071428571431</v>
      </c>
      <c r="C63" s="58"/>
    </row>
    <row r="64" spans="1:3" x14ac:dyDescent="0.2">
      <c r="A64" s="6" t="s">
        <v>105</v>
      </c>
      <c r="B64" s="17">
        <v>0.5</v>
      </c>
      <c r="C64" s="6"/>
    </row>
    <row r="65" spans="1:3" x14ac:dyDescent="0.2">
      <c r="A65" s="504" t="s">
        <v>106</v>
      </c>
      <c r="B65" s="505"/>
      <c r="C65" s="45">
        <f>ROUND((B63*C62)*(1+B64),2)</f>
        <v>0</v>
      </c>
    </row>
    <row r="67" spans="1:3" x14ac:dyDescent="0.2">
      <c r="A67" s="459" t="s">
        <v>212</v>
      </c>
      <c r="B67" s="459"/>
      <c r="C67" s="459"/>
    </row>
    <row r="68" spans="1:3" x14ac:dyDescent="0.2">
      <c r="A68" s="6" t="s">
        <v>204</v>
      </c>
      <c r="B68" s="6">
        <v>365.25</v>
      </c>
      <c r="C68" s="52"/>
    </row>
    <row r="69" spans="1:3" x14ac:dyDescent="0.2">
      <c r="A69" s="6" t="s">
        <v>206</v>
      </c>
      <c r="B69" s="34">
        <v>12</v>
      </c>
      <c r="C69" s="52"/>
    </row>
    <row r="70" spans="1:3" x14ac:dyDescent="0.2">
      <c r="A70" s="6" t="s">
        <v>213</v>
      </c>
      <c r="B70" s="17">
        <v>1</v>
      </c>
      <c r="C70" s="52"/>
    </row>
    <row r="71" spans="1:3" x14ac:dyDescent="0.2">
      <c r="A71" s="103" t="s">
        <v>448</v>
      </c>
      <c r="B71" s="34">
        <v>7</v>
      </c>
      <c r="C71" s="52"/>
    </row>
    <row r="72" spans="1:3" x14ac:dyDescent="0.2">
      <c r="A72" s="34" t="s">
        <v>214</v>
      </c>
      <c r="B72" s="52"/>
      <c r="C72" s="18"/>
    </row>
    <row r="73" spans="1:3" x14ac:dyDescent="0.2">
      <c r="A73" s="34" t="s">
        <v>31</v>
      </c>
      <c r="B73" s="52"/>
      <c r="C73" s="18"/>
    </row>
    <row r="74" spans="1:3" x14ac:dyDescent="0.2">
      <c r="A74" s="34" t="s">
        <v>32</v>
      </c>
      <c r="B74" s="52"/>
      <c r="C74" s="18"/>
    </row>
    <row r="75" spans="1:3" x14ac:dyDescent="0.2">
      <c r="A75" s="104" t="s">
        <v>193</v>
      </c>
      <c r="B75" s="52"/>
      <c r="C75" s="105">
        <f>SUM(C72:C74)</f>
        <v>0</v>
      </c>
    </row>
    <row r="76" spans="1:3" x14ac:dyDescent="0.2">
      <c r="A76" s="6" t="s">
        <v>102</v>
      </c>
      <c r="B76" s="106">
        <f>+B3</f>
        <v>220</v>
      </c>
      <c r="C76" s="52"/>
    </row>
    <row r="77" spans="1:3" x14ac:dyDescent="0.2">
      <c r="A77" s="34" t="s">
        <v>215</v>
      </c>
      <c r="B77" s="17">
        <v>0.2</v>
      </c>
      <c r="C77" s="52"/>
    </row>
    <row r="78" spans="1:3" x14ac:dyDescent="0.2">
      <c r="A78" s="34" t="s">
        <v>216</v>
      </c>
      <c r="B78" s="52"/>
      <c r="C78" s="8">
        <f>ROUND((C75/B76)*B77,2)</f>
        <v>0</v>
      </c>
    </row>
    <row r="79" spans="1:3" x14ac:dyDescent="0.2">
      <c r="A79" s="34" t="s">
        <v>217</v>
      </c>
      <c r="B79" s="6">
        <f>ROUND(+B68/B69*B70*B71,0)</f>
        <v>213</v>
      </c>
      <c r="C79" s="53"/>
    </row>
    <row r="80" spans="1:3" x14ac:dyDescent="0.2">
      <c r="A80" s="506" t="s">
        <v>218</v>
      </c>
      <c r="B80" s="506"/>
      <c r="C80" s="32">
        <f>ROUND(+B79*C78,2)</f>
        <v>0</v>
      </c>
    </row>
    <row r="82" spans="1:4" x14ac:dyDescent="0.2">
      <c r="A82" s="503" t="s">
        <v>232</v>
      </c>
      <c r="B82" s="503"/>
      <c r="C82" s="503"/>
    </row>
    <row r="83" spans="1:4" x14ac:dyDescent="0.2">
      <c r="A83" s="6" t="s">
        <v>103</v>
      </c>
      <c r="B83" s="52"/>
      <c r="C83" s="90">
        <f>+C80</f>
        <v>0</v>
      </c>
    </row>
    <row r="84" spans="1:4" x14ac:dyDescent="0.2">
      <c r="A84" s="6" t="s">
        <v>199</v>
      </c>
      <c r="B84" s="6">
        <v>192</v>
      </c>
      <c r="C84" s="54"/>
    </row>
    <row r="85" spans="1:4" x14ac:dyDescent="0.2">
      <c r="A85" s="6" t="s">
        <v>204</v>
      </c>
      <c r="B85" s="6">
        <f>+$B$4</f>
        <v>365.25</v>
      </c>
      <c r="C85" s="54"/>
    </row>
    <row r="86" spans="1:4" x14ac:dyDescent="0.2">
      <c r="A86" s="6" t="s">
        <v>197</v>
      </c>
      <c r="B86" s="6">
        <v>12</v>
      </c>
      <c r="C86" s="54"/>
    </row>
    <row r="87" spans="1:4" x14ac:dyDescent="0.2">
      <c r="A87" s="6" t="s">
        <v>200</v>
      </c>
      <c r="B87" s="17">
        <v>1</v>
      </c>
      <c r="C87" s="54"/>
    </row>
    <row r="88" spans="1:4" x14ac:dyDescent="0.2">
      <c r="A88" s="6" t="s">
        <v>205</v>
      </c>
      <c r="B88" s="92">
        <f>ROUND(((B85/7)*6)-B86,2)</f>
        <v>301.07</v>
      </c>
      <c r="C88" s="54"/>
    </row>
    <row r="89" spans="1:4" x14ac:dyDescent="0.2">
      <c r="A89" s="6" t="s">
        <v>206</v>
      </c>
      <c r="B89" s="34">
        <v>12</v>
      </c>
      <c r="C89" s="54"/>
    </row>
    <row r="90" spans="1:4" ht="25.5" x14ac:dyDescent="0.2">
      <c r="A90" s="30" t="s">
        <v>207</v>
      </c>
      <c r="B90" s="6">
        <f>+((B84/B89)*B87)/B88</f>
        <v>5.3143787159132427E-2</v>
      </c>
      <c r="C90" s="54"/>
    </row>
    <row r="91" spans="1:4" x14ac:dyDescent="0.2">
      <c r="A91" s="24" t="s">
        <v>208</v>
      </c>
      <c r="B91" s="24"/>
      <c r="C91" s="45">
        <f>+C83/B84*(B85-B88)*B90</f>
        <v>0</v>
      </c>
    </row>
    <row r="93" spans="1:4" x14ac:dyDescent="0.2">
      <c r="A93" s="459" t="s">
        <v>219</v>
      </c>
      <c r="B93" s="459"/>
      <c r="C93" s="459"/>
    </row>
    <row r="94" spans="1:4" x14ac:dyDescent="0.2">
      <c r="A94" s="6" t="s">
        <v>204</v>
      </c>
      <c r="B94" s="6">
        <f>+$B$4</f>
        <v>365.25</v>
      </c>
      <c r="C94" s="52"/>
    </row>
    <row r="95" spans="1:4" x14ac:dyDescent="0.2">
      <c r="A95" s="6" t="s">
        <v>206</v>
      </c>
      <c r="B95" s="34">
        <v>12</v>
      </c>
      <c r="C95" s="52"/>
    </row>
    <row r="96" spans="1:4" x14ac:dyDescent="0.2">
      <c r="A96" s="6" t="s">
        <v>213</v>
      </c>
      <c r="B96" s="17">
        <v>1</v>
      </c>
      <c r="C96" s="52"/>
      <c r="D96" s="109"/>
    </row>
    <row r="97" spans="1:4" x14ac:dyDescent="0.2">
      <c r="A97" s="103" t="s">
        <v>448</v>
      </c>
      <c r="B97" s="34">
        <v>7</v>
      </c>
      <c r="C97" s="52"/>
      <c r="D97" s="109"/>
    </row>
    <row r="98" spans="1:4" x14ac:dyDescent="0.2">
      <c r="A98" s="34" t="s">
        <v>220</v>
      </c>
      <c r="B98" s="51">
        <f>(365.25/12)/(7/5)</f>
        <v>21.741071428571431</v>
      </c>
      <c r="C98" s="6"/>
      <c r="D98" s="109"/>
    </row>
    <row r="99" spans="1:4" x14ac:dyDescent="0.2">
      <c r="A99" s="34" t="s">
        <v>221</v>
      </c>
      <c r="B99" s="6">
        <f>ROUND(+B98*B97,2)</f>
        <v>152.19</v>
      </c>
      <c r="C99" s="6"/>
    </row>
    <row r="100" spans="1:4" x14ac:dyDescent="0.2">
      <c r="A100" s="34" t="s">
        <v>214</v>
      </c>
      <c r="B100" s="52"/>
      <c r="C100" s="18"/>
    </row>
    <row r="101" spans="1:4" x14ac:dyDescent="0.2">
      <c r="A101" s="34" t="s">
        <v>31</v>
      </c>
      <c r="B101" s="52"/>
      <c r="C101" s="18"/>
    </row>
    <row r="102" spans="1:4" x14ac:dyDescent="0.2">
      <c r="A102" s="34" t="s">
        <v>32</v>
      </c>
      <c r="B102" s="52"/>
      <c r="C102" s="18"/>
    </row>
    <row r="103" spans="1:4" x14ac:dyDescent="0.2">
      <c r="A103" s="104" t="s">
        <v>193</v>
      </c>
      <c r="B103" s="52"/>
      <c r="C103" s="105">
        <f>SUM(C100:C102)</f>
        <v>0</v>
      </c>
      <c r="D103" s="88"/>
    </row>
    <row r="104" spans="1:4" x14ac:dyDescent="0.2">
      <c r="A104" s="6" t="s">
        <v>102</v>
      </c>
      <c r="B104" s="106">
        <f>+B3</f>
        <v>220</v>
      </c>
      <c r="C104" s="52"/>
    </row>
    <row r="105" spans="1:4" x14ac:dyDescent="0.2">
      <c r="A105" s="34" t="s">
        <v>215</v>
      </c>
      <c r="B105" s="17">
        <v>0.2</v>
      </c>
      <c r="C105" s="52"/>
    </row>
    <row r="106" spans="1:4" x14ac:dyDescent="0.2">
      <c r="A106" s="34" t="s">
        <v>216</v>
      </c>
      <c r="B106" s="52"/>
      <c r="C106" s="8">
        <f>ROUND((C103/B104)*B105,2)</f>
        <v>0</v>
      </c>
    </row>
    <row r="107" spans="1:4" x14ac:dyDescent="0.2">
      <c r="A107" s="34" t="s">
        <v>223</v>
      </c>
      <c r="B107" s="6">
        <v>60</v>
      </c>
      <c r="C107" s="52"/>
    </row>
    <row r="108" spans="1:4" x14ac:dyDescent="0.2">
      <c r="A108" s="34" t="s">
        <v>222</v>
      </c>
      <c r="B108" s="6">
        <v>52.5</v>
      </c>
      <c r="C108" s="52"/>
    </row>
    <row r="109" spans="1:4" x14ac:dyDescent="0.2">
      <c r="A109" s="34" t="s">
        <v>224</v>
      </c>
      <c r="B109" s="6">
        <f>+B107/B108</f>
        <v>1.1428571428571428</v>
      </c>
      <c r="C109" s="52"/>
    </row>
    <row r="110" spans="1:4" x14ac:dyDescent="0.2">
      <c r="A110" s="34" t="s">
        <v>225</v>
      </c>
      <c r="B110" s="6">
        <f>ROUND(+B109*B99,2)</f>
        <v>173.93</v>
      </c>
      <c r="C110" s="52"/>
    </row>
    <row r="111" spans="1:4" x14ac:dyDescent="0.2">
      <c r="A111" s="34" t="s">
        <v>226</v>
      </c>
      <c r="B111" s="6">
        <f>ROUND(B110-B99,2)</f>
        <v>21.74</v>
      </c>
      <c r="C111" s="53"/>
    </row>
    <row r="112" spans="1:4" x14ac:dyDescent="0.2">
      <c r="A112" s="494" t="s">
        <v>227</v>
      </c>
      <c r="B112" s="494"/>
      <c r="C112" s="71">
        <f>+B111*C106</f>
        <v>0</v>
      </c>
    </row>
    <row r="114" spans="1:3" x14ac:dyDescent="0.2">
      <c r="A114" s="459" t="s">
        <v>233</v>
      </c>
      <c r="B114" s="459"/>
      <c r="C114" s="459"/>
    </row>
    <row r="115" spans="1:3" x14ac:dyDescent="0.2">
      <c r="A115" s="6" t="s">
        <v>204</v>
      </c>
      <c r="B115" s="6">
        <f>+$B$4</f>
        <v>365.25</v>
      </c>
      <c r="C115" s="52"/>
    </row>
    <row r="116" spans="1:3" x14ac:dyDescent="0.2">
      <c r="A116" s="6" t="s">
        <v>206</v>
      </c>
      <c r="B116" s="34">
        <v>12</v>
      </c>
      <c r="C116" s="52"/>
    </row>
    <row r="117" spans="1:3" x14ac:dyDescent="0.2">
      <c r="A117" s="6" t="s">
        <v>213</v>
      </c>
      <c r="B117" s="17">
        <v>1</v>
      </c>
      <c r="C117" s="52"/>
    </row>
    <row r="118" spans="1:3" x14ac:dyDescent="0.2">
      <c r="A118" s="34" t="s">
        <v>234</v>
      </c>
      <c r="B118" s="180">
        <f>+B5</f>
        <v>21.741071428571431</v>
      </c>
      <c r="C118" s="52"/>
    </row>
    <row r="119" spans="1:3" x14ac:dyDescent="0.2">
      <c r="A119" s="205" t="s">
        <v>235</v>
      </c>
      <c r="B119" s="206"/>
      <c r="C119" s="52"/>
    </row>
    <row r="120" spans="1:3" x14ac:dyDescent="0.2">
      <c r="A120" s="6" t="s">
        <v>236</v>
      </c>
      <c r="B120" s="17">
        <v>0.06</v>
      </c>
      <c r="C120" s="52"/>
    </row>
    <row r="121" spans="1:3" x14ac:dyDescent="0.2">
      <c r="A121" s="504" t="s">
        <v>237</v>
      </c>
      <c r="B121" s="505"/>
      <c r="C121" s="45">
        <f>ROUND((B118*(B119*2)-($B$6*B120)),2)</f>
        <v>0</v>
      </c>
    </row>
    <row r="123" spans="1:3" x14ac:dyDescent="0.2">
      <c r="A123" s="459" t="s">
        <v>238</v>
      </c>
      <c r="B123" s="459"/>
      <c r="C123" s="459"/>
    </row>
    <row r="124" spans="1:3" x14ac:dyDescent="0.2">
      <c r="A124" s="6" t="s">
        <v>204</v>
      </c>
      <c r="B124" s="6">
        <f>+$B$4</f>
        <v>365.25</v>
      </c>
      <c r="C124" s="52"/>
    </row>
    <row r="125" spans="1:3" x14ac:dyDescent="0.2">
      <c r="A125" s="6" t="s">
        <v>206</v>
      </c>
      <c r="B125" s="34">
        <v>12</v>
      </c>
      <c r="C125" s="52"/>
    </row>
    <row r="126" spans="1:3" x14ac:dyDescent="0.2">
      <c r="A126" s="6" t="s">
        <v>213</v>
      </c>
      <c r="B126" s="17">
        <v>1</v>
      </c>
      <c r="C126" s="52"/>
    </row>
    <row r="127" spans="1:3" x14ac:dyDescent="0.2">
      <c r="A127" s="34" t="s">
        <v>234</v>
      </c>
      <c r="B127" s="180">
        <f>+B5</f>
        <v>21.741071428571431</v>
      </c>
      <c r="C127" s="52"/>
    </row>
    <row r="128" spans="1:3" x14ac:dyDescent="0.2">
      <c r="A128" s="205" t="s">
        <v>239</v>
      </c>
      <c r="B128" s="206"/>
      <c r="C128" s="52"/>
    </row>
    <row r="129" spans="1:3" x14ac:dyDescent="0.2">
      <c r="A129" s="6" t="s">
        <v>367</v>
      </c>
      <c r="B129" s="17">
        <v>0.2</v>
      </c>
      <c r="C129" s="52"/>
    </row>
    <row r="130" spans="1:3" x14ac:dyDescent="0.2">
      <c r="A130" s="504" t="s">
        <v>239</v>
      </c>
      <c r="B130" s="505"/>
      <c r="C130" s="45">
        <f>ROUND((B127*(B128)-((B127*B128)*B129)),2)</f>
        <v>0</v>
      </c>
    </row>
    <row r="132" spans="1:3" x14ac:dyDescent="0.2">
      <c r="A132" s="459" t="s">
        <v>240</v>
      </c>
      <c r="B132" s="459"/>
      <c r="C132" s="459"/>
    </row>
    <row r="133" spans="1:3" x14ac:dyDescent="0.2">
      <c r="A133" s="6" t="s">
        <v>242</v>
      </c>
      <c r="B133" s="18">
        <f>+B7</f>
        <v>0</v>
      </c>
      <c r="C133" s="52"/>
    </row>
    <row r="134" spans="1:3" x14ac:dyDescent="0.2">
      <c r="A134" s="6" t="s">
        <v>243</v>
      </c>
      <c r="B134" s="6">
        <v>12</v>
      </c>
      <c r="C134" s="52"/>
    </row>
    <row r="135" spans="1:3" x14ac:dyDescent="0.2">
      <c r="A135" s="116" t="s">
        <v>244</v>
      </c>
      <c r="B135" s="114"/>
      <c r="C135" s="52"/>
    </row>
    <row r="136" spans="1:3" x14ac:dyDescent="0.2">
      <c r="A136" s="494" t="s">
        <v>245</v>
      </c>
      <c r="B136" s="494"/>
      <c r="C136" s="45">
        <f>ROUND(+(B133/B134)*B135,2)</f>
        <v>0</v>
      </c>
    </row>
    <row r="138" spans="1:3" x14ac:dyDescent="0.2">
      <c r="A138" s="507" t="s">
        <v>246</v>
      </c>
      <c r="B138" s="508"/>
      <c r="C138" s="509"/>
    </row>
    <row r="139" spans="1:3" s="60" customFormat="1" x14ac:dyDescent="0.2">
      <c r="A139" s="117" t="s">
        <v>251</v>
      </c>
      <c r="B139" s="114">
        <f>+B135</f>
        <v>0</v>
      </c>
      <c r="C139" s="52"/>
    </row>
    <row r="140" spans="1:3" x14ac:dyDescent="0.2">
      <c r="A140" s="6" t="s">
        <v>247</v>
      </c>
      <c r="B140" s="18">
        <f>+'Vigilante 44h Desarm'!$D$25</f>
        <v>0</v>
      </c>
      <c r="C140" s="52"/>
    </row>
    <row r="141" spans="1:3" x14ac:dyDescent="0.2">
      <c r="A141" s="6" t="s">
        <v>46</v>
      </c>
      <c r="B141" s="18">
        <f>+'Vigilante 44h Desarm'!$D$31</f>
        <v>0</v>
      </c>
      <c r="C141" s="52"/>
    </row>
    <row r="142" spans="1:3" x14ac:dyDescent="0.2">
      <c r="A142" s="111" t="s">
        <v>45</v>
      </c>
      <c r="B142" s="18">
        <f>+'Vigilante 44h Desarm'!$D$33</f>
        <v>0</v>
      </c>
      <c r="C142" s="52"/>
    </row>
    <row r="143" spans="1:3" x14ac:dyDescent="0.2">
      <c r="A143" s="111" t="s">
        <v>44</v>
      </c>
      <c r="B143" s="18">
        <f>+'Vigilante 44h Desarm'!$D$34</f>
        <v>0</v>
      </c>
      <c r="C143" s="52"/>
    </row>
    <row r="144" spans="1:3" x14ac:dyDescent="0.2">
      <c r="A144" s="104" t="s">
        <v>248</v>
      </c>
      <c r="B144" s="105">
        <f>SUM(B140:B143)</f>
        <v>0</v>
      </c>
      <c r="C144" s="52"/>
    </row>
    <row r="145" spans="1:3" x14ac:dyDescent="0.2">
      <c r="A145" s="25" t="s">
        <v>249</v>
      </c>
      <c r="B145" s="17">
        <v>0.4</v>
      </c>
      <c r="C145" s="52"/>
    </row>
    <row r="146" spans="1:3" x14ac:dyDescent="0.2">
      <c r="A146" s="25" t="s">
        <v>250</v>
      </c>
      <c r="B146" s="17">
        <f>+'Vigilante 44h Desarm'!$C$46</f>
        <v>0.08</v>
      </c>
      <c r="C146" s="52"/>
    </row>
    <row r="147" spans="1:3" x14ac:dyDescent="0.2">
      <c r="A147" s="510" t="s">
        <v>252</v>
      </c>
      <c r="B147" s="510"/>
      <c r="C147" s="73">
        <f>ROUND(+B144*B145*B146*B139,2)</f>
        <v>0</v>
      </c>
    </row>
    <row r="148" spans="1:3" x14ac:dyDescent="0.2">
      <c r="A148" s="25" t="s">
        <v>253</v>
      </c>
      <c r="B148" s="17">
        <v>0.1</v>
      </c>
      <c r="C148" s="52"/>
    </row>
    <row r="149" spans="1:3" x14ac:dyDescent="0.2">
      <c r="A149" s="510" t="s">
        <v>254</v>
      </c>
      <c r="B149" s="510"/>
      <c r="C149" s="112">
        <f>ROUND(B148*B146*B144*B139,2)</f>
        <v>0</v>
      </c>
    </row>
    <row r="150" spans="1:3" x14ac:dyDescent="0.2">
      <c r="A150" s="504" t="s">
        <v>255</v>
      </c>
      <c r="B150" s="505"/>
      <c r="C150" s="71">
        <f>+C149+C147</f>
        <v>0</v>
      </c>
    </row>
    <row r="152" spans="1:3" x14ac:dyDescent="0.2">
      <c r="A152" s="459" t="s">
        <v>256</v>
      </c>
      <c r="B152" s="459"/>
      <c r="C152" s="459"/>
    </row>
    <row r="153" spans="1:3" x14ac:dyDescent="0.2">
      <c r="A153" s="6" t="s">
        <v>242</v>
      </c>
      <c r="B153" s="18">
        <f>+B7</f>
        <v>0</v>
      </c>
      <c r="C153" s="52"/>
    </row>
    <row r="154" spans="1:3" x14ac:dyDescent="0.2">
      <c r="A154" s="6" t="s">
        <v>257</v>
      </c>
      <c r="B154" s="113">
        <v>30</v>
      </c>
      <c r="C154" s="52"/>
    </row>
    <row r="155" spans="1:3" x14ac:dyDescent="0.2">
      <c r="A155" s="6" t="s">
        <v>243</v>
      </c>
      <c r="B155" s="6">
        <v>12</v>
      </c>
      <c r="C155" s="52"/>
    </row>
    <row r="156" spans="1:3" x14ac:dyDescent="0.2">
      <c r="A156" s="6" t="s">
        <v>258</v>
      </c>
      <c r="B156" s="6">
        <v>5</v>
      </c>
      <c r="C156" s="52"/>
    </row>
    <row r="157" spans="1:3" x14ac:dyDescent="0.2">
      <c r="A157" s="116" t="s">
        <v>294</v>
      </c>
      <c r="B157" s="114"/>
      <c r="C157" s="52"/>
    </row>
    <row r="158" spans="1:3" x14ac:dyDescent="0.2">
      <c r="A158" s="494" t="s">
        <v>369</v>
      </c>
      <c r="B158" s="494"/>
      <c r="C158" s="45">
        <f>+ROUND(((B153/B154/B155)*B156)*B157,2)</f>
        <v>0</v>
      </c>
    </row>
    <row r="160" spans="1:3" x14ac:dyDescent="0.2">
      <c r="A160" s="507" t="s">
        <v>259</v>
      </c>
      <c r="B160" s="508"/>
      <c r="C160" s="509"/>
    </row>
    <row r="161" spans="1:3" x14ac:dyDescent="0.2">
      <c r="A161" s="115" t="s">
        <v>260</v>
      </c>
      <c r="B161" s="114">
        <f>+B157</f>
        <v>0</v>
      </c>
      <c r="C161" s="52"/>
    </row>
    <row r="162" spans="1:3" x14ac:dyDescent="0.2">
      <c r="A162" s="6" t="s">
        <v>247</v>
      </c>
      <c r="B162" s="18">
        <f>+'Vigilante 44h Desarm'!$D$25</f>
        <v>0</v>
      </c>
      <c r="C162" s="52"/>
    </row>
    <row r="163" spans="1:3" x14ac:dyDescent="0.2">
      <c r="A163" s="6" t="s">
        <v>46</v>
      </c>
      <c r="B163" s="18">
        <f>+'Vigilante 44h Desarm'!$D$31</f>
        <v>0</v>
      </c>
      <c r="C163" s="52"/>
    </row>
    <row r="164" spans="1:3" x14ac:dyDescent="0.2">
      <c r="A164" s="111" t="s">
        <v>45</v>
      </c>
      <c r="B164" s="18">
        <f>+'Vigilante 44h Desarm'!$D$33</f>
        <v>0</v>
      </c>
      <c r="C164" s="52"/>
    </row>
    <row r="165" spans="1:3" x14ac:dyDescent="0.2">
      <c r="A165" s="111" t="s">
        <v>44</v>
      </c>
      <c r="B165" s="18">
        <f>+'Vigilante 44h Desarm'!$D$34</f>
        <v>0</v>
      </c>
      <c r="C165" s="52"/>
    </row>
    <row r="166" spans="1:3" x14ac:dyDescent="0.2">
      <c r="A166" s="104" t="s">
        <v>248</v>
      </c>
      <c r="B166" s="105">
        <f>SUM(B162:B165)</f>
        <v>0</v>
      </c>
      <c r="C166" s="52"/>
    </row>
    <row r="167" spans="1:3" x14ac:dyDescent="0.2">
      <c r="A167" s="25" t="s">
        <v>249</v>
      </c>
      <c r="B167" s="17">
        <v>0.4</v>
      </c>
      <c r="C167" s="52"/>
    </row>
    <row r="168" spans="1:3" x14ac:dyDescent="0.2">
      <c r="A168" s="25" t="s">
        <v>250</v>
      </c>
      <c r="B168" s="17">
        <f>+'Vigilante 44h Desarm'!$C$46</f>
        <v>0.08</v>
      </c>
      <c r="C168" s="52"/>
    </row>
    <row r="169" spans="1:3" x14ac:dyDescent="0.2">
      <c r="A169" s="510" t="s">
        <v>252</v>
      </c>
      <c r="B169" s="510"/>
      <c r="C169" s="73">
        <f>ROUND(+B166*B167*B168*B161,2)</f>
        <v>0</v>
      </c>
    </row>
    <row r="170" spans="1:3" x14ac:dyDescent="0.2">
      <c r="A170" s="25" t="s">
        <v>253</v>
      </c>
      <c r="B170" s="17">
        <v>0.1</v>
      </c>
      <c r="C170" s="52"/>
    </row>
    <row r="171" spans="1:3" x14ac:dyDescent="0.2">
      <c r="A171" s="510" t="s">
        <v>254</v>
      </c>
      <c r="B171" s="510"/>
      <c r="C171" s="112">
        <f>ROUND(B170*B168*B166*B161,2)</f>
        <v>0</v>
      </c>
    </row>
    <row r="172" spans="1:3" x14ac:dyDescent="0.2">
      <c r="A172" s="504" t="s">
        <v>385</v>
      </c>
      <c r="B172" s="505"/>
      <c r="C172" s="71">
        <f>+C171+C169</f>
        <v>0</v>
      </c>
    </row>
    <row r="174" spans="1:3" x14ac:dyDescent="0.2">
      <c r="A174" s="507" t="s">
        <v>262</v>
      </c>
      <c r="B174" s="508"/>
      <c r="C174" s="509"/>
    </row>
    <row r="175" spans="1:3" x14ac:dyDescent="0.2">
      <c r="A175" s="511" t="s">
        <v>358</v>
      </c>
      <c r="B175" s="511"/>
      <c r="C175" s="511"/>
    </row>
    <row r="176" spans="1:3" x14ac:dyDescent="0.2">
      <c r="A176" s="511"/>
      <c r="B176" s="511"/>
      <c r="C176" s="511"/>
    </row>
    <row r="177" spans="1:3" x14ac:dyDescent="0.2">
      <c r="A177" s="511"/>
      <c r="B177" s="511"/>
      <c r="C177" s="511"/>
    </row>
    <row r="178" spans="1:3" x14ac:dyDescent="0.2">
      <c r="A178" s="511"/>
      <c r="B178" s="511"/>
      <c r="C178" s="511"/>
    </row>
    <row r="179" spans="1:3" x14ac:dyDescent="0.2">
      <c r="A179" s="119"/>
      <c r="B179" s="119"/>
      <c r="C179" s="119"/>
    </row>
    <row r="180" spans="1:3" x14ac:dyDescent="0.2">
      <c r="A180" s="512" t="s">
        <v>261</v>
      </c>
      <c r="B180" s="512"/>
      <c r="C180" s="512"/>
    </row>
    <row r="181" spans="1:3" x14ac:dyDescent="0.2">
      <c r="A181" s="6" t="s">
        <v>263</v>
      </c>
      <c r="B181" s="18">
        <f>+$B$7</f>
        <v>0</v>
      </c>
      <c r="C181" s="52"/>
    </row>
    <row r="182" spans="1:3" x14ac:dyDescent="0.2">
      <c r="A182" s="6" t="s">
        <v>206</v>
      </c>
      <c r="B182" s="6">
        <v>30</v>
      </c>
      <c r="C182" s="52"/>
    </row>
    <row r="183" spans="1:3" x14ac:dyDescent="0.2">
      <c r="A183" s="6" t="s">
        <v>264</v>
      </c>
      <c r="B183" s="6">
        <v>12</v>
      </c>
      <c r="C183" s="52"/>
    </row>
    <row r="184" spans="1:3" x14ac:dyDescent="0.2">
      <c r="A184" s="116" t="s">
        <v>265</v>
      </c>
      <c r="B184" s="116"/>
      <c r="C184" s="52"/>
    </row>
    <row r="185" spans="1:3" x14ac:dyDescent="0.2">
      <c r="A185" s="494" t="s">
        <v>266</v>
      </c>
      <c r="B185" s="494"/>
      <c r="C185" s="24">
        <f>+ROUND((B181/B182/B183)*B184,2)</f>
        <v>0</v>
      </c>
    </row>
    <row r="187" spans="1:3" x14ac:dyDescent="0.2">
      <c r="A187" s="512" t="s">
        <v>269</v>
      </c>
      <c r="B187" s="512"/>
      <c r="C187" s="512"/>
    </row>
    <row r="188" spans="1:3" x14ac:dyDescent="0.2">
      <c r="A188" s="6" t="s">
        <v>263</v>
      </c>
      <c r="B188" s="18">
        <f>+$B$7</f>
        <v>0</v>
      </c>
      <c r="C188" s="52"/>
    </row>
    <row r="189" spans="1:3" x14ac:dyDescent="0.2">
      <c r="A189" s="6" t="s">
        <v>206</v>
      </c>
      <c r="B189" s="6">
        <v>30</v>
      </c>
      <c r="C189" s="52"/>
    </row>
    <row r="190" spans="1:3" x14ac:dyDescent="0.2">
      <c r="A190" s="6" t="s">
        <v>264</v>
      </c>
      <c r="B190" s="6">
        <v>12</v>
      </c>
      <c r="C190" s="52"/>
    </row>
    <row r="191" spans="1:3" x14ac:dyDescent="0.2">
      <c r="A191" s="34" t="s">
        <v>267</v>
      </c>
      <c r="B191" s="6">
        <v>5</v>
      </c>
      <c r="C191" s="52"/>
    </row>
    <row r="192" spans="1:3" x14ac:dyDescent="0.2">
      <c r="A192" s="116" t="s">
        <v>268</v>
      </c>
      <c r="B192" s="114"/>
      <c r="C192" s="52"/>
    </row>
    <row r="193" spans="1:3" x14ac:dyDescent="0.2">
      <c r="A193" s="116" t="s">
        <v>270</v>
      </c>
      <c r="B193" s="114"/>
      <c r="C193" s="52"/>
    </row>
    <row r="194" spans="1:3" x14ac:dyDescent="0.2">
      <c r="A194" s="494" t="s">
        <v>271</v>
      </c>
      <c r="B194" s="494"/>
      <c r="C194" s="45">
        <f>ROUND(+B188/B189/B190*B191*B192*B193,2)</f>
        <v>0</v>
      </c>
    </row>
    <row r="196" spans="1:3" x14ac:dyDescent="0.2">
      <c r="A196" s="512" t="s">
        <v>272</v>
      </c>
      <c r="B196" s="512"/>
      <c r="C196" s="512"/>
    </row>
    <row r="197" spans="1:3" x14ac:dyDescent="0.2">
      <c r="A197" s="6" t="s">
        <v>263</v>
      </c>
      <c r="B197" s="18">
        <f>+$B$7</f>
        <v>0</v>
      </c>
      <c r="C197" s="52"/>
    </row>
    <row r="198" spans="1:3" x14ac:dyDescent="0.2">
      <c r="A198" s="6" t="s">
        <v>206</v>
      </c>
      <c r="B198" s="6">
        <v>30</v>
      </c>
      <c r="C198" s="52"/>
    </row>
    <row r="199" spans="1:3" x14ac:dyDescent="0.2">
      <c r="A199" s="6" t="s">
        <v>264</v>
      </c>
      <c r="B199" s="6">
        <v>12</v>
      </c>
      <c r="C199" s="52"/>
    </row>
    <row r="200" spans="1:3" x14ac:dyDescent="0.2">
      <c r="A200" s="34" t="s">
        <v>273</v>
      </c>
      <c r="B200" s="6">
        <v>15</v>
      </c>
      <c r="C200" s="52"/>
    </row>
    <row r="201" spans="1:3" x14ac:dyDescent="0.2">
      <c r="A201" s="116" t="s">
        <v>274</v>
      </c>
      <c r="B201" s="114"/>
      <c r="C201" s="52"/>
    </row>
    <row r="202" spans="1:3" x14ac:dyDescent="0.2">
      <c r="A202" s="494" t="s">
        <v>370</v>
      </c>
      <c r="B202" s="494"/>
      <c r="C202" s="45">
        <f>ROUND(+B197/B198/B199*B200*B201,2)</f>
        <v>0</v>
      </c>
    </row>
    <row r="204" spans="1:3" x14ac:dyDescent="0.2">
      <c r="A204" s="512" t="s">
        <v>275</v>
      </c>
      <c r="B204" s="512"/>
      <c r="C204" s="512"/>
    </row>
    <row r="205" spans="1:3" x14ac:dyDescent="0.2">
      <c r="A205" s="6" t="s">
        <v>263</v>
      </c>
      <c r="B205" s="18">
        <f>+$B$7</f>
        <v>0</v>
      </c>
      <c r="C205" s="52"/>
    </row>
    <row r="206" spans="1:3" x14ac:dyDescent="0.2">
      <c r="A206" s="6" t="s">
        <v>206</v>
      </c>
      <c r="B206" s="6">
        <v>30</v>
      </c>
      <c r="C206" s="52"/>
    </row>
    <row r="207" spans="1:3" x14ac:dyDescent="0.2">
      <c r="A207" s="6" t="s">
        <v>264</v>
      </c>
      <c r="B207" s="6">
        <v>12</v>
      </c>
      <c r="C207" s="52"/>
    </row>
    <row r="208" spans="1:3" x14ac:dyDescent="0.2">
      <c r="A208" s="34" t="s">
        <v>273</v>
      </c>
      <c r="B208" s="6">
        <v>5</v>
      </c>
      <c r="C208" s="52"/>
    </row>
    <row r="209" spans="1:3" x14ac:dyDescent="0.2">
      <c r="A209" s="116" t="s">
        <v>276</v>
      </c>
      <c r="B209" s="114"/>
      <c r="C209" s="52"/>
    </row>
    <row r="210" spans="1:3" x14ac:dyDescent="0.2">
      <c r="A210" s="494" t="s">
        <v>371</v>
      </c>
      <c r="B210" s="494"/>
      <c r="C210" s="45">
        <f>ROUND(+B205/B206/B207*B208*B209,2)</f>
        <v>0</v>
      </c>
    </row>
    <row r="212" spans="1:3" x14ac:dyDescent="0.2">
      <c r="A212" s="459" t="s">
        <v>108</v>
      </c>
      <c r="B212" s="459"/>
      <c r="C212" s="459"/>
    </row>
    <row r="213" spans="1:3" x14ac:dyDescent="0.2">
      <c r="A213" s="83" t="s">
        <v>23</v>
      </c>
      <c r="B213" s="87"/>
      <c r="C213" s="18">
        <f>+'Vigilante 44h Desarm'!D25-'Vigilante 44h Desarm'!D22</f>
        <v>0</v>
      </c>
    </row>
    <row r="214" spans="1:3" x14ac:dyDescent="0.2">
      <c r="A214" s="83" t="s">
        <v>68</v>
      </c>
      <c r="B214" s="87"/>
      <c r="C214" s="18">
        <f>+'Vigilante 44h Desarm'!D70</f>
        <v>0</v>
      </c>
    </row>
    <row r="215" spans="1:3" x14ac:dyDescent="0.2">
      <c r="A215" s="83" t="s">
        <v>153</v>
      </c>
      <c r="B215" s="87"/>
      <c r="C215" s="18">
        <f>+'Vigilante 44h Desarm'!D118</f>
        <v>0</v>
      </c>
    </row>
    <row r="216" spans="1:3" x14ac:dyDescent="0.2">
      <c r="A216" s="83" t="s">
        <v>86</v>
      </c>
      <c r="B216" s="87"/>
      <c r="C216" s="18">
        <f>+'Vigilante 44h Desarm'!D109</f>
        <v>0</v>
      </c>
    </row>
    <row r="217" spans="1:3" x14ac:dyDescent="0.2">
      <c r="A217" s="83" t="s">
        <v>92</v>
      </c>
      <c r="B217" s="87"/>
      <c r="C217" s="18">
        <f>+'Vigilante 44h Desarm'!D110</f>
        <v>0</v>
      </c>
    </row>
    <row r="218" spans="1:3" x14ac:dyDescent="0.2">
      <c r="A218" s="83" t="s">
        <v>70</v>
      </c>
      <c r="B218" s="87"/>
      <c r="C218" s="18">
        <f>+'Vigilante 44h Desarm'!D81</f>
        <v>0</v>
      </c>
    </row>
    <row r="219" spans="1:3" x14ac:dyDescent="0.2">
      <c r="A219" s="83" t="s">
        <v>193</v>
      </c>
      <c r="B219" s="87"/>
      <c r="C219" s="18">
        <f>SUM(C213:C218)</f>
        <v>0</v>
      </c>
    </row>
    <row r="220" spans="1:3" x14ac:dyDescent="0.2">
      <c r="A220" s="83" t="s">
        <v>102</v>
      </c>
      <c r="B220" s="84">
        <v>220</v>
      </c>
      <c r="C220" s="85"/>
    </row>
    <row r="221" spans="1:3" x14ac:dyDescent="0.2">
      <c r="A221" s="83" t="s">
        <v>103</v>
      </c>
      <c r="B221" s="87"/>
      <c r="C221" s="18">
        <f>ROUND(C219/B220,2)</f>
        <v>0</v>
      </c>
    </row>
    <row r="222" spans="1:3" x14ac:dyDescent="0.2">
      <c r="A222" s="6" t="s">
        <v>104</v>
      </c>
      <c r="B222" s="51">
        <f>+B5</f>
        <v>21.741071428571431</v>
      </c>
      <c r="C222" s="58"/>
    </row>
    <row r="223" spans="1:3" x14ac:dyDescent="0.2">
      <c r="A223" s="504" t="s">
        <v>106</v>
      </c>
      <c r="B223" s="505"/>
      <c r="C223" s="71">
        <f>ROUND(+B222*C221,2)</f>
        <v>0</v>
      </c>
    </row>
    <row r="225" spans="1:3" x14ac:dyDescent="0.2">
      <c r="A225" s="512" t="s">
        <v>277</v>
      </c>
      <c r="B225" s="512"/>
      <c r="C225" s="512"/>
    </row>
    <row r="226" spans="1:3" x14ac:dyDescent="0.2">
      <c r="A226" s="513" t="s">
        <v>282</v>
      </c>
      <c r="B226" s="514"/>
      <c r="C226" s="515"/>
    </row>
    <row r="227" spans="1:3" x14ac:dyDescent="0.2">
      <c r="A227" s="6" t="s">
        <v>263</v>
      </c>
      <c r="B227" s="18">
        <f>+$B$7</f>
        <v>0</v>
      </c>
      <c r="C227" s="52"/>
    </row>
    <row r="228" spans="1:3" x14ac:dyDescent="0.2">
      <c r="A228" s="6" t="s">
        <v>281</v>
      </c>
      <c r="B228" s="18">
        <f>+B227*(1/3)</f>
        <v>0</v>
      </c>
      <c r="C228" s="52"/>
    </row>
    <row r="229" spans="1:3" x14ac:dyDescent="0.2">
      <c r="A229" s="104" t="s">
        <v>248</v>
      </c>
      <c r="B229" s="105">
        <f>SUM(B227:B228)</f>
        <v>0</v>
      </c>
      <c r="C229" s="52"/>
    </row>
    <row r="230" spans="1:3" x14ac:dyDescent="0.2">
      <c r="A230" s="6" t="s">
        <v>278</v>
      </c>
      <c r="B230" s="6">
        <v>4</v>
      </c>
      <c r="C230" s="52"/>
    </row>
    <row r="231" spans="1:3" x14ac:dyDescent="0.2">
      <c r="A231" s="6" t="s">
        <v>264</v>
      </c>
      <c r="B231" s="6">
        <v>12</v>
      </c>
      <c r="C231" s="52"/>
    </row>
    <row r="232" spans="1:3" x14ac:dyDescent="0.2">
      <c r="A232" s="116" t="s">
        <v>279</v>
      </c>
      <c r="B232" s="114"/>
      <c r="C232" s="52"/>
    </row>
    <row r="233" spans="1:3" x14ac:dyDescent="0.2">
      <c r="A233" s="116" t="s">
        <v>280</v>
      </c>
      <c r="B233" s="114"/>
      <c r="C233" s="52"/>
    </row>
    <row r="234" spans="1:3" x14ac:dyDescent="0.2">
      <c r="A234" s="494" t="s">
        <v>283</v>
      </c>
      <c r="B234" s="494"/>
      <c r="C234" s="45">
        <f>ROUND((((+B229*(B230/B231)/B231)*B232)*B233),2)</f>
        <v>0</v>
      </c>
    </row>
    <row r="235" spans="1:3" x14ac:dyDescent="0.2">
      <c r="A235" s="494" t="s">
        <v>284</v>
      </c>
      <c r="B235" s="494"/>
      <c r="C235" s="494"/>
    </row>
    <row r="236" spans="1:3" x14ac:dyDescent="0.2">
      <c r="A236" s="6" t="s">
        <v>263</v>
      </c>
      <c r="B236" s="18">
        <f>+'Vigilante 44h Desarm'!D25</f>
        <v>0</v>
      </c>
      <c r="C236" s="52"/>
    </row>
    <row r="237" spans="1:3" x14ac:dyDescent="0.2">
      <c r="A237" s="6" t="s">
        <v>46</v>
      </c>
      <c r="B237" s="18">
        <f>+'Vigilante 44h Desarm'!D31</f>
        <v>0</v>
      </c>
      <c r="C237" s="52"/>
    </row>
    <row r="238" spans="1:3" x14ac:dyDescent="0.2">
      <c r="A238" s="104" t="s">
        <v>248</v>
      </c>
      <c r="B238" s="105">
        <f>SUM(B236:B237)</f>
        <v>0</v>
      </c>
      <c r="C238" s="52"/>
    </row>
    <row r="239" spans="1:3" x14ac:dyDescent="0.2">
      <c r="A239" s="6" t="s">
        <v>278</v>
      </c>
      <c r="B239" s="6">
        <v>4</v>
      </c>
      <c r="C239" s="52"/>
    </row>
    <row r="240" spans="1:3" x14ac:dyDescent="0.2">
      <c r="A240" s="6" t="s">
        <v>264</v>
      </c>
      <c r="B240" s="6">
        <v>12</v>
      </c>
      <c r="C240" s="52"/>
    </row>
    <row r="241" spans="1:3" x14ac:dyDescent="0.2">
      <c r="A241" s="116" t="s">
        <v>279</v>
      </c>
      <c r="B241" s="114"/>
      <c r="C241" s="52"/>
    </row>
    <row r="242" spans="1:3" x14ac:dyDescent="0.2">
      <c r="A242" s="116" t="s">
        <v>280</v>
      </c>
      <c r="B242" s="114"/>
      <c r="C242" s="52"/>
    </row>
    <row r="243" spans="1:3" x14ac:dyDescent="0.2">
      <c r="A243" s="34" t="s">
        <v>285</v>
      </c>
      <c r="B243" s="17">
        <f>+'Vigilante 44h Desarm'!C47</f>
        <v>0.36800000000000005</v>
      </c>
      <c r="C243" s="52"/>
    </row>
    <row r="244" spans="1:3" x14ac:dyDescent="0.2">
      <c r="A244" s="494" t="s">
        <v>286</v>
      </c>
      <c r="B244" s="494"/>
      <c r="C244" s="71">
        <f>ROUND((((B238*(B239/B240)*B241)*B242)*B243),2)</f>
        <v>0</v>
      </c>
    </row>
  </sheetData>
  <mergeCells count="45">
    <mergeCell ref="A234:B234"/>
    <mergeCell ref="A235:C235"/>
    <mergeCell ref="A244:B244"/>
    <mergeCell ref="A204:C204"/>
    <mergeCell ref="A210:B210"/>
    <mergeCell ref="A212:C212"/>
    <mergeCell ref="A223:B223"/>
    <mergeCell ref="A225:C225"/>
    <mergeCell ref="A226:C226"/>
    <mergeCell ref="A202:B202"/>
    <mergeCell ref="A160:C160"/>
    <mergeCell ref="A169:B169"/>
    <mergeCell ref="A171:B171"/>
    <mergeCell ref="A172:B172"/>
    <mergeCell ref="A174:C174"/>
    <mergeCell ref="A175:C178"/>
    <mergeCell ref="A180:C180"/>
    <mergeCell ref="A185:B185"/>
    <mergeCell ref="A187:C187"/>
    <mergeCell ref="A194:B194"/>
    <mergeCell ref="A196:C196"/>
    <mergeCell ref="A158:B158"/>
    <mergeCell ref="A114:C114"/>
    <mergeCell ref="A121:B121"/>
    <mergeCell ref="A123:C123"/>
    <mergeCell ref="A130:B130"/>
    <mergeCell ref="A132:C132"/>
    <mergeCell ref="A136:B136"/>
    <mergeCell ref="A138:C138"/>
    <mergeCell ref="A147:B147"/>
    <mergeCell ref="A149:B149"/>
    <mergeCell ref="A150:B150"/>
    <mergeCell ref="A152:C152"/>
    <mergeCell ref="A112:B112"/>
    <mergeCell ref="A1:C1"/>
    <mergeCell ref="A9:C9"/>
    <mergeCell ref="A26:B26"/>
    <mergeCell ref="A28:C28"/>
    <mergeCell ref="A39:C39"/>
    <mergeCell ref="A52:C52"/>
    <mergeCell ref="A65:B65"/>
    <mergeCell ref="A67:C67"/>
    <mergeCell ref="A80:B80"/>
    <mergeCell ref="A82:C82"/>
    <mergeCell ref="A93:C93"/>
  </mergeCells>
  <pageMargins left="0.78740157480314965" right="0.11811023622047245" top="0.31496062992125984" bottom="0.62" header="0.31496062992125984" footer="0.31496062992125984"/>
  <pageSetup paperSize="9" scale="90" orientation="portrait" r:id="rId1"/>
  <headerFooter>
    <oddFooter>&amp;A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>
    <tabColor rgb="FFFF0000"/>
  </sheetPr>
  <dimension ref="A1:F183"/>
  <sheetViews>
    <sheetView topLeftCell="A58" workbookViewId="0">
      <selection activeCell="D92" sqref="D92"/>
    </sheetView>
  </sheetViews>
  <sheetFormatPr defaultRowHeight="12.75" x14ac:dyDescent="0.2"/>
  <cols>
    <col min="1" max="1" width="5.625" customWidth="1"/>
    <col min="2" max="2" width="50.5" customWidth="1"/>
    <col min="3" max="3" width="9.375" bestFit="1" customWidth="1"/>
    <col min="4" max="4" width="15.625" customWidth="1"/>
    <col min="5" max="5" width="11.75" bestFit="1" customWidth="1"/>
  </cols>
  <sheetData>
    <row r="1" spans="1:6" x14ac:dyDescent="0.2">
      <c r="A1" s="477" t="s">
        <v>211</v>
      </c>
      <c r="B1" s="478"/>
      <c r="C1" s="478"/>
      <c r="D1" s="479"/>
      <c r="E1" s="3"/>
      <c r="F1" s="3"/>
    </row>
    <row r="3" spans="1:6" x14ac:dyDescent="0.2">
      <c r="A3" s="463" t="s">
        <v>16</v>
      </c>
      <c r="B3" s="464"/>
      <c r="C3" s="464"/>
      <c r="D3" s="465"/>
    </row>
    <row r="4" spans="1:6" s="1" customFormat="1" ht="28.5" customHeight="1" x14ac:dyDescent="0.2">
      <c r="A4" s="300">
        <v>1</v>
      </c>
      <c r="B4" s="301" t="s">
        <v>17</v>
      </c>
      <c r="C4" s="574" t="s">
        <v>356</v>
      </c>
      <c r="D4" s="575"/>
    </row>
    <row r="5" spans="1:6" s="1" customFormat="1" x14ac:dyDescent="0.2">
      <c r="A5" s="300">
        <v>2</v>
      </c>
      <c r="B5" s="301" t="s">
        <v>18</v>
      </c>
      <c r="C5" s="576" t="s">
        <v>295</v>
      </c>
      <c r="D5" s="577"/>
    </row>
    <row r="6" spans="1:6" s="1" customFormat="1" x14ac:dyDescent="0.2">
      <c r="A6" s="300">
        <v>3</v>
      </c>
      <c r="B6" s="301" t="s">
        <v>19</v>
      </c>
      <c r="C6" s="484"/>
      <c r="D6" s="484"/>
    </row>
    <row r="7" spans="1:6" s="1" customFormat="1" ht="42.75" customHeight="1" x14ac:dyDescent="0.2">
      <c r="A7" s="300">
        <v>4</v>
      </c>
      <c r="B7" s="301" t="s">
        <v>21</v>
      </c>
      <c r="C7" s="578" t="s">
        <v>296</v>
      </c>
      <c r="D7" s="579"/>
    </row>
    <row r="8" spans="1:6" s="1" customFormat="1" x14ac:dyDescent="0.2">
      <c r="A8" s="300">
        <v>5</v>
      </c>
      <c r="B8" s="301" t="s">
        <v>20</v>
      </c>
      <c r="C8" s="580">
        <v>43160</v>
      </c>
      <c r="D8" s="577"/>
    </row>
    <row r="9" spans="1:6" x14ac:dyDescent="0.2">
      <c r="D9" s="201"/>
    </row>
    <row r="10" spans="1:6" x14ac:dyDescent="0.2">
      <c r="A10" s="455" t="s">
        <v>22</v>
      </c>
      <c r="B10" s="455"/>
      <c r="C10" s="455"/>
      <c r="D10" s="455"/>
    </row>
    <row r="11" spans="1:6" x14ac:dyDescent="0.2">
      <c r="A11" s="4">
        <v>1</v>
      </c>
      <c r="B11" s="94" t="s">
        <v>23</v>
      </c>
      <c r="C11" s="248" t="s">
        <v>50</v>
      </c>
      <c r="D11" s="5" t="s">
        <v>24</v>
      </c>
    </row>
    <row r="12" spans="1:6" x14ac:dyDescent="0.2">
      <c r="A12" s="247" t="s">
        <v>3</v>
      </c>
      <c r="B12" s="388" t="s">
        <v>30</v>
      </c>
      <c r="C12" s="388"/>
      <c r="D12" s="7">
        <f>+C6</f>
        <v>0</v>
      </c>
    </row>
    <row r="13" spans="1:6" x14ac:dyDescent="0.2">
      <c r="A13" s="247" t="s">
        <v>4</v>
      </c>
      <c r="B13" s="89" t="s">
        <v>31</v>
      </c>
      <c r="C13" s="95">
        <v>0.3</v>
      </c>
      <c r="D13" s="7">
        <f>+C13*D12</f>
        <v>0</v>
      </c>
      <c r="E13" s="88"/>
    </row>
    <row r="14" spans="1:6" x14ac:dyDescent="0.2">
      <c r="A14" s="247" t="s">
        <v>5</v>
      </c>
      <c r="B14" s="89" t="s">
        <v>32</v>
      </c>
      <c r="C14" s="95"/>
      <c r="D14" s="7"/>
    </row>
    <row r="15" spans="1:6" x14ac:dyDescent="0.2">
      <c r="A15" s="247" t="s">
        <v>6</v>
      </c>
      <c r="B15" s="388" t="s">
        <v>33</v>
      </c>
      <c r="C15" s="388"/>
      <c r="D15" s="7"/>
    </row>
    <row r="16" spans="1:6" x14ac:dyDescent="0.2">
      <c r="A16" s="247" t="s">
        <v>25</v>
      </c>
      <c r="B16" s="388" t="s">
        <v>34</v>
      </c>
      <c r="C16" s="388"/>
      <c r="D16" s="7"/>
    </row>
    <row r="17" spans="1:6" x14ac:dyDescent="0.2">
      <c r="A17" s="247" t="s">
        <v>26</v>
      </c>
      <c r="B17" s="468" t="s">
        <v>231</v>
      </c>
      <c r="C17" s="469"/>
      <c r="D17" s="7"/>
    </row>
    <row r="18" spans="1:6" x14ac:dyDescent="0.2">
      <c r="A18" s="247" t="s">
        <v>27</v>
      </c>
      <c r="B18" s="388" t="s">
        <v>35</v>
      </c>
      <c r="C18" s="388"/>
      <c r="D18" s="7"/>
    </row>
    <row r="19" spans="1:6" x14ac:dyDescent="0.2">
      <c r="A19" s="247" t="s">
        <v>28</v>
      </c>
      <c r="B19" s="468" t="s">
        <v>195</v>
      </c>
      <c r="C19" s="469"/>
      <c r="D19" s="93"/>
    </row>
    <row r="20" spans="1:6" x14ac:dyDescent="0.2">
      <c r="A20" s="247" t="s">
        <v>64</v>
      </c>
      <c r="B20" s="89" t="s">
        <v>65</v>
      </c>
      <c r="C20" s="95"/>
      <c r="D20" s="7"/>
    </row>
    <row r="21" spans="1:6" x14ac:dyDescent="0.2">
      <c r="A21" s="247" t="s">
        <v>194</v>
      </c>
      <c r="B21" s="388" t="s">
        <v>95</v>
      </c>
      <c r="C21" s="388"/>
      <c r="D21" s="8"/>
      <c r="F21" s="98"/>
    </row>
    <row r="22" spans="1:6" x14ac:dyDescent="0.2">
      <c r="A22" s="247" t="s">
        <v>196</v>
      </c>
      <c r="B22" s="388" t="s">
        <v>36</v>
      </c>
      <c r="C22" s="388"/>
      <c r="D22" s="8"/>
    </row>
    <row r="23" spans="1:6" x14ac:dyDescent="0.2">
      <c r="A23" s="474" t="s">
        <v>29</v>
      </c>
      <c r="B23" s="474"/>
      <c r="C23" s="474"/>
      <c r="D23" s="9">
        <f>SUM(D12:D22)</f>
        <v>0</v>
      </c>
    </row>
    <row r="25" spans="1:6" x14ac:dyDescent="0.2">
      <c r="A25" s="455" t="s">
        <v>37</v>
      </c>
      <c r="B25" s="455"/>
      <c r="C25" s="455"/>
      <c r="D25" s="455"/>
    </row>
    <row r="27" spans="1:6" x14ac:dyDescent="0.2">
      <c r="A27" s="455" t="s">
        <v>38</v>
      </c>
      <c r="B27" s="455"/>
      <c r="C27" s="455"/>
      <c r="D27" s="455"/>
    </row>
    <row r="28" spans="1:6" x14ac:dyDescent="0.2">
      <c r="A28" s="19" t="s">
        <v>39</v>
      </c>
      <c r="B28" s="14" t="s">
        <v>40</v>
      </c>
      <c r="C28" s="22" t="s">
        <v>50</v>
      </c>
      <c r="D28" s="20" t="s">
        <v>24</v>
      </c>
    </row>
    <row r="29" spans="1:6" x14ac:dyDescent="0.2">
      <c r="A29" s="247" t="s">
        <v>3</v>
      </c>
      <c r="B29" s="6" t="s">
        <v>46</v>
      </c>
      <c r="C29" s="29" t="e">
        <f>ROUND(+D29/$D$23,4)</f>
        <v>#DIV/0!</v>
      </c>
      <c r="D29" s="8">
        <f>ROUND(+D23/12,2)</f>
        <v>0</v>
      </c>
    </row>
    <row r="30" spans="1:6" x14ac:dyDescent="0.2">
      <c r="A30" s="28" t="s">
        <v>4</v>
      </c>
      <c r="B30" s="37" t="s">
        <v>43</v>
      </c>
      <c r="C30" s="38" t="e">
        <f>ROUND(+D30/$D$23,4)</f>
        <v>#DIV/0!</v>
      </c>
      <c r="D30" s="39">
        <f>+D31+D32</f>
        <v>0</v>
      </c>
    </row>
    <row r="31" spans="1:6" x14ac:dyDescent="0.2">
      <c r="A31" s="247" t="s">
        <v>41</v>
      </c>
      <c r="B31" s="35" t="s">
        <v>45</v>
      </c>
      <c r="C31" s="40" t="e">
        <f>ROUND(+D31/$D$23,4)</f>
        <v>#DIV/0!</v>
      </c>
      <c r="D31" s="36">
        <f>ROUND(+D23/12,2)</f>
        <v>0</v>
      </c>
    </row>
    <row r="32" spans="1:6" x14ac:dyDescent="0.2">
      <c r="A32" s="247" t="s">
        <v>42</v>
      </c>
      <c r="B32" s="35" t="s">
        <v>44</v>
      </c>
      <c r="C32" s="40" t="e">
        <f>ROUND(+D32/$D$23,4)</f>
        <v>#DIV/0!</v>
      </c>
      <c r="D32" s="36">
        <f>ROUND(+(D23*1/3)/12,2)</f>
        <v>0</v>
      </c>
    </row>
    <row r="33" spans="1:4" x14ac:dyDescent="0.2">
      <c r="A33" s="474" t="s">
        <v>29</v>
      </c>
      <c r="B33" s="474"/>
      <c r="C33" s="474"/>
      <c r="D33" s="9">
        <f>+D30+D29</f>
        <v>0</v>
      </c>
    </row>
    <row r="35" spans="1:4" x14ac:dyDescent="0.2">
      <c r="A35" s="467" t="s">
        <v>47</v>
      </c>
      <c r="B35" s="467"/>
      <c r="C35" s="467"/>
      <c r="D35" s="467"/>
    </row>
    <row r="36" spans="1:4" x14ac:dyDescent="0.2">
      <c r="A36" s="19" t="s">
        <v>48</v>
      </c>
      <c r="B36" s="21" t="s">
        <v>49</v>
      </c>
      <c r="C36" s="22" t="s">
        <v>50</v>
      </c>
      <c r="D36" s="20" t="s">
        <v>24</v>
      </c>
    </row>
    <row r="37" spans="1:4" x14ac:dyDescent="0.2">
      <c r="A37" s="247" t="s">
        <v>3</v>
      </c>
      <c r="B37" s="6" t="s">
        <v>51</v>
      </c>
      <c r="C37" s="17">
        <v>0.2</v>
      </c>
      <c r="D37" s="18">
        <f>ROUND(C37*($D$23+$D$33),2)</f>
        <v>0</v>
      </c>
    </row>
    <row r="38" spans="1:4" x14ac:dyDescent="0.2">
      <c r="A38" s="247" t="s">
        <v>4</v>
      </c>
      <c r="B38" s="6" t="s">
        <v>52</v>
      </c>
      <c r="C38" s="17">
        <v>2.5000000000000001E-2</v>
      </c>
      <c r="D38" s="18">
        <f t="shared" ref="D38:D43" si="0">ROUND(C38*($D$23+$D$33),2)</f>
        <v>0</v>
      </c>
    </row>
    <row r="39" spans="1:4" x14ac:dyDescent="0.2">
      <c r="A39" s="247" t="s">
        <v>5</v>
      </c>
      <c r="B39" s="6" t="s">
        <v>58</v>
      </c>
      <c r="C39" s="17">
        <f>3%</f>
        <v>0.03</v>
      </c>
      <c r="D39" s="18">
        <f t="shared" si="0"/>
        <v>0</v>
      </c>
    </row>
    <row r="40" spans="1:4" x14ac:dyDescent="0.2">
      <c r="A40" s="247" t="s">
        <v>6</v>
      </c>
      <c r="B40" s="6" t="s">
        <v>53</v>
      </c>
      <c r="C40" s="17">
        <v>1.4999999999999999E-2</v>
      </c>
      <c r="D40" s="18">
        <f t="shared" si="0"/>
        <v>0</v>
      </c>
    </row>
    <row r="41" spans="1:4" x14ac:dyDescent="0.2">
      <c r="A41" s="247" t="s">
        <v>25</v>
      </c>
      <c r="B41" s="6" t="s">
        <v>54</v>
      </c>
      <c r="C41" s="17">
        <v>0.01</v>
      </c>
      <c r="D41" s="18">
        <f t="shared" si="0"/>
        <v>0</v>
      </c>
    </row>
    <row r="42" spans="1:4" x14ac:dyDescent="0.2">
      <c r="A42" s="247" t="s">
        <v>26</v>
      </c>
      <c r="B42" s="6" t="s">
        <v>55</v>
      </c>
      <c r="C42" s="17">
        <v>6.0000000000000001E-3</v>
      </c>
      <c r="D42" s="18">
        <f t="shared" si="0"/>
        <v>0</v>
      </c>
    </row>
    <row r="43" spans="1:4" x14ac:dyDescent="0.2">
      <c r="A43" s="247" t="s">
        <v>27</v>
      </c>
      <c r="B43" s="6" t="s">
        <v>56</v>
      </c>
      <c r="C43" s="17">
        <v>2E-3</v>
      </c>
      <c r="D43" s="18">
        <f t="shared" si="0"/>
        <v>0</v>
      </c>
    </row>
    <row r="44" spans="1:4" x14ac:dyDescent="0.2">
      <c r="A44" s="247" t="s">
        <v>28</v>
      </c>
      <c r="B44" s="6" t="s">
        <v>57</v>
      </c>
      <c r="C44" s="17">
        <v>0.08</v>
      </c>
      <c r="D44" s="18">
        <f>ROUND(C44*($D$23+$D$33),2)</f>
        <v>0</v>
      </c>
    </row>
    <row r="45" spans="1:4" x14ac:dyDescent="0.2">
      <c r="A45" s="249" t="s">
        <v>29</v>
      </c>
      <c r="B45" s="250"/>
      <c r="C45" s="41">
        <f>SUM(C37:C44)</f>
        <v>0.36800000000000005</v>
      </c>
      <c r="D45" s="42">
        <f>SUM(D37:D44)</f>
        <v>0</v>
      </c>
    </row>
    <row r="46" spans="1:4" x14ac:dyDescent="0.2">
      <c r="A46" s="43"/>
      <c r="B46" s="43"/>
      <c r="C46" s="43"/>
      <c r="D46" s="43"/>
    </row>
    <row r="47" spans="1:4" x14ac:dyDescent="0.2">
      <c r="A47" s="467" t="s">
        <v>59</v>
      </c>
      <c r="B47" s="467"/>
      <c r="C47" s="467"/>
      <c r="D47" s="467"/>
    </row>
    <row r="48" spans="1:4" x14ac:dyDescent="0.2">
      <c r="A48" s="19" t="s">
        <v>60</v>
      </c>
      <c r="B48" s="21" t="s">
        <v>61</v>
      </c>
      <c r="C48" s="22"/>
      <c r="D48" s="20" t="s">
        <v>24</v>
      </c>
    </row>
    <row r="49" spans="1:6" x14ac:dyDescent="0.2">
      <c r="A49" s="107" t="s">
        <v>3</v>
      </c>
      <c r="B49" s="6" t="s">
        <v>62</v>
      </c>
      <c r="C49" s="54"/>
      <c r="D49" s="18">
        <f>+'Calculo Xerem 12x36 diu'!C107</f>
        <v>0</v>
      </c>
    </row>
    <row r="50" spans="1:6" s="60" customFormat="1" x14ac:dyDescent="0.2">
      <c r="A50" s="75" t="s">
        <v>177</v>
      </c>
      <c r="B50" s="34" t="s">
        <v>178</v>
      </c>
      <c r="C50" s="29">
        <f>+$C$135+$C$136</f>
        <v>3.6499999999999998E-2</v>
      </c>
      <c r="D50" s="77">
        <f>+(C50*D49)*-1</f>
        <v>0</v>
      </c>
      <c r="F50" s="76"/>
    </row>
    <row r="51" spans="1:6" x14ac:dyDescent="0.2">
      <c r="A51" s="107" t="s">
        <v>4</v>
      </c>
      <c r="B51" s="6" t="s">
        <v>63</v>
      </c>
      <c r="C51" s="54"/>
      <c r="D51" s="18">
        <f>+'Calculo Xerem 12x36 diu'!C116</f>
        <v>0</v>
      </c>
      <c r="F51" s="61"/>
    </row>
    <row r="52" spans="1:6" s="60" customFormat="1" x14ac:dyDescent="0.2">
      <c r="A52" s="75" t="s">
        <v>41</v>
      </c>
      <c r="B52" s="34" t="s">
        <v>178</v>
      </c>
      <c r="C52" s="29">
        <f>+$C$135+$C$136</f>
        <v>3.6499999999999998E-2</v>
      </c>
      <c r="D52" s="77">
        <f>+(C52*D51)*-1</f>
        <v>0</v>
      </c>
      <c r="F52" s="78"/>
    </row>
    <row r="53" spans="1:6" x14ac:dyDescent="0.2">
      <c r="A53" s="6" t="s">
        <v>5</v>
      </c>
      <c r="B53" s="6" t="s">
        <v>66</v>
      </c>
      <c r="C53" s="54"/>
      <c r="D53" s="18"/>
      <c r="F53" s="61"/>
    </row>
    <row r="54" spans="1:6" x14ac:dyDescent="0.2">
      <c r="A54" s="75" t="s">
        <v>161</v>
      </c>
      <c r="B54" s="34" t="s">
        <v>178</v>
      </c>
      <c r="C54" s="29">
        <f>+$C$135+$C$136</f>
        <v>3.6499999999999998E-2</v>
      </c>
      <c r="D54" s="77">
        <f>+(C54*D53)*-1</f>
        <v>0</v>
      </c>
      <c r="F54" s="61"/>
    </row>
    <row r="55" spans="1:6" x14ac:dyDescent="0.2">
      <c r="A55" s="116" t="s">
        <v>6</v>
      </c>
      <c r="B55" s="116" t="s">
        <v>426</v>
      </c>
      <c r="C55" s="54"/>
      <c r="D55" s="377"/>
      <c r="F55" s="61"/>
    </row>
    <row r="56" spans="1:6" x14ac:dyDescent="0.2">
      <c r="A56" s="75" t="s">
        <v>179</v>
      </c>
      <c r="B56" s="34" t="s">
        <v>178</v>
      </c>
      <c r="C56" s="29">
        <f>+$C$135+$C$136</f>
        <v>3.6499999999999998E-2</v>
      </c>
      <c r="D56" s="77">
        <f>+(C56*D55)*-1</f>
        <v>0</v>
      </c>
      <c r="F56" s="61"/>
    </row>
    <row r="57" spans="1:6" x14ac:dyDescent="0.2">
      <c r="A57" s="116" t="s">
        <v>25</v>
      </c>
      <c r="B57" s="116" t="s">
        <v>427</v>
      </c>
      <c r="C57" s="54"/>
      <c r="D57" s="378"/>
      <c r="F57" s="131"/>
    </row>
    <row r="58" spans="1:6" x14ac:dyDescent="0.2">
      <c r="A58" s="75" t="s">
        <v>180</v>
      </c>
      <c r="B58" s="34" t="s">
        <v>178</v>
      </c>
      <c r="C58" s="29">
        <f>+$C$135+$C$136</f>
        <v>3.6499999999999998E-2</v>
      </c>
      <c r="D58" s="77">
        <f>+(C58*D57)*-1</f>
        <v>0</v>
      </c>
    </row>
    <row r="59" spans="1:6" x14ac:dyDescent="0.2">
      <c r="A59" s="116" t="s">
        <v>26</v>
      </c>
      <c r="B59" s="454" t="s">
        <v>293</v>
      </c>
      <c r="C59" s="454"/>
      <c r="D59" s="377"/>
    </row>
    <row r="60" spans="1:6" x14ac:dyDescent="0.2">
      <c r="A60" s="75" t="s">
        <v>81</v>
      </c>
      <c r="B60" s="34" t="s">
        <v>178</v>
      </c>
      <c r="C60" s="29">
        <f>+$C$135+$C$136</f>
        <v>3.6499999999999998E-2</v>
      </c>
      <c r="D60" s="77">
        <f>+(C60*D59)*-1</f>
        <v>0</v>
      </c>
    </row>
    <row r="61" spans="1:6" x14ac:dyDescent="0.2">
      <c r="A61" s="463" t="s">
        <v>29</v>
      </c>
      <c r="B61" s="465"/>
      <c r="C61" s="16"/>
      <c r="D61" s="110">
        <f>SUM(D49:D60)</f>
        <v>0</v>
      </c>
    </row>
    <row r="63" spans="1:6" x14ac:dyDescent="0.2">
      <c r="A63" s="455" t="s">
        <v>67</v>
      </c>
      <c r="B63" s="455"/>
      <c r="C63" s="455"/>
      <c r="D63" s="455"/>
    </row>
    <row r="64" spans="1:6" x14ac:dyDescent="0.2">
      <c r="A64" s="24">
        <v>2</v>
      </c>
      <c r="B64" s="455" t="s">
        <v>68</v>
      </c>
      <c r="C64" s="455"/>
      <c r="D64" s="253" t="s">
        <v>24</v>
      </c>
    </row>
    <row r="65" spans="1:4" x14ac:dyDescent="0.2">
      <c r="A65" s="25" t="s">
        <v>39</v>
      </c>
      <c r="B65" s="466" t="s">
        <v>40</v>
      </c>
      <c r="C65" s="466"/>
      <c r="D65" s="18">
        <f>+D33</f>
        <v>0</v>
      </c>
    </row>
    <row r="66" spans="1:4" x14ac:dyDescent="0.2">
      <c r="A66" s="25" t="s">
        <v>48</v>
      </c>
      <c r="B66" s="466" t="s">
        <v>49</v>
      </c>
      <c r="C66" s="466"/>
      <c r="D66" s="18">
        <f>+D45</f>
        <v>0</v>
      </c>
    </row>
    <row r="67" spans="1:4" x14ac:dyDescent="0.2">
      <c r="A67" s="25" t="s">
        <v>60</v>
      </c>
      <c r="B67" s="466" t="s">
        <v>61</v>
      </c>
      <c r="C67" s="466"/>
      <c r="D67" s="68">
        <f>+D61</f>
        <v>0</v>
      </c>
    </row>
    <row r="68" spans="1:4" x14ac:dyDescent="0.2">
      <c r="A68" s="455" t="s">
        <v>29</v>
      </c>
      <c r="B68" s="455"/>
      <c r="C68" s="455"/>
      <c r="D68" s="26">
        <f>SUM(D65:D67)</f>
        <v>0</v>
      </c>
    </row>
    <row r="70" spans="1:4" x14ac:dyDescent="0.2">
      <c r="A70" s="455" t="s">
        <v>69</v>
      </c>
      <c r="B70" s="455"/>
      <c r="C70" s="455"/>
      <c r="D70" s="455"/>
    </row>
    <row r="72" spans="1:4" x14ac:dyDescent="0.2">
      <c r="A72" s="13">
        <v>3</v>
      </c>
      <c r="B72" s="14" t="s">
        <v>70</v>
      </c>
      <c r="C72" s="248" t="s">
        <v>50</v>
      </c>
      <c r="D72" s="248" t="s">
        <v>24</v>
      </c>
    </row>
    <row r="73" spans="1:4" x14ac:dyDescent="0.2">
      <c r="A73" s="247" t="s">
        <v>3</v>
      </c>
      <c r="B73" s="34" t="s">
        <v>72</v>
      </c>
      <c r="C73" s="29" t="e">
        <f>+D73/$D$23</f>
        <v>#DIV/0!</v>
      </c>
      <c r="D73" s="118">
        <f>+'Calculo Xerem 12x36 diu'!C122</f>
        <v>0</v>
      </c>
    </row>
    <row r="74" spans="1:4" x14ac:dyDescent="0.2">
      <c r="A74" s="247" t="s">
        <v>4</v>
      </c>
      <c r="B74" s="6" t="s">
        <v>73</v>
      </c>
      <c r="C74" s="52"/>
      <c r="D74" s="8">
        <f>ROUND(+D73*$C$44,2)</f>
        <v>0</v>
      </c>
    </row>
    <row r="75" spans="1:4" ht="25.5" x14ac:dyDescent="0.2">
      <c r="A75" s="247" t="s">
        <v>5</v>
      </c>
      <c r="B75" s="30" t="s">
        <v>75</v>
      </c>
      <c r="C75" s="17" t="e">
        <f>+D75/$D$23</f>
        <v>#DIV/0!</v>
      </c>
      <c r="D75" s="8">
        <f>+'Calculo Xerem 12x36 diu'!C136</f>
        <v>0</v>
      </c>
    </row>
    <row r="76" spans="1:4" x14ac:dyDescent="0.2">
      <c r="A76" s="108" t="s">
        <v>6</v>
      </c>
      <c r="B76" s="6" t="s">
        <v>71</v>
      </c>
      <c r="C76" s="17" t="e">
        <f>+D76/$D$23</f>
        <v>#DIV/0!</v>
      </c>
      <c r="D76" s="8">
        <f>+'Calculo Xerem 12x36 diu'!C144</f>
        <v>0</v>
      </c>
    </row>
    <row r="77" spans="1:4" ht="25.5" x14ac:dyDescent="0.2">
      <c r="A77" s="108" t="s">
        <v>25</v>
      </c>
      <c r="B77" s="30" t="s">
        <v>74</v>
      </c>
      <c r="C77" s="52"/>
      <c r="D77" s="384"/>
    </row>
    <row r="78" spans="1:4" ht="25.5" x14ac:dyDescent="0.2">
      <c r="A78" s="108" t="s">
        <v>26</v>
      </c>
      <c r="B78" s="30" t="s">
        <v>76</v>
      </c>
      <c r="C78" s="17" t="e">
        <f>+D78/$D$23</f>
        <v>#DIV/0!</v>
      </c>
      <c r="D78" s="18">
        <f>+'Calculo Xerem 12x36 diu'!C158</f>
        <v>0</v>
      </c>
    </row>
    <row r="79" spans="1:4" x14ac:dyDescent="0.2">
      <c r="A79" s="463" t="s">
        <v>29</v>
      </c>
      <c r="B79" s="464"/>
      <c r="C79" s="465"/>
      <c r="D79" s="32">
        <f>SUM(D73:D78)</f>
        <v>0</v>
      </c>
    </row>
    <row r="81" spans="1:4" x14ac:dyDescent="0.2">
      <c r="A81" s="455" t="s">
        <v>84</v>
      </c>
      <c r="B81" s="455"/>
      <c r="C81" s="455"/>
      <c r="D81" s="455"/>
    </row>
    <row r="83" spans="1:4" x14ac:dyDescent="0.2">
      <c r="A83" s="467" t="s">
        <v>87</v>
      </c>
      <c r="B83" s="467"/>
      <c r="C83" s="467"/>
      <c r="D83" s="467"/>
    </row>
    <row r="84" spans="1:4" x14ac:dyDescent="0.2">
      <c r="A84" s="13" t="s">
        <v>85</v>
      </c>
      <c r="B84" s="463" t="s">
        <v>86</v>
      </c>
      <c r="C84" s="465"/>
      <c r="D84" s="248" t="s">
        <v>24</v>
      </c>
    </row>
    <row r="85" spans="1:4" x14ac:dyDescent="0.2">
      <c r="A85" s="6" t="s">
        <v>3</v>
      </c>
      <c r="B85" s="470" t="s">
        <v>88</v>
      </c>
      <c r="C85" s="471"/>
      <c r="D85" s="8"/>
    </row>
    <row r="86" spans="1:4" x14ac:dyDescent="0.2">
      <c r="A86" s="34" t="s">
        <v>4</v>
      </c>
      <c r="B86" s="488" t="s">
        <v>86</v>
      </c>
      <c r="C86" s="489"/>
      <c r="D86" s="120">
        <f>+'Calculo Xerem 12x36 diu'!C171</f>
        <v>0</v>
      </c>
    </row>
    <row r="87" spans="1:4" s="60" customFormat="1" x14ac:dyDescent="0.2">
      <c r="A87" s="34" t="s">
        <v>5</v>
      </c>
      <c r="B87" s="488" t="s">
        <v>89</v>
      </c>
      <c r="C87" s="489"/>
      <c r="D87" s="120">
        <f>+'Calculo Xerem 12x36 diu'!C180</f>
        <v>0</v>
      </c>
    </row>
    <row r="88" spans="1:4" s="60" customFormat="1" x14ac:dyDescent="0.2">
      <c r="A88" s="34" t="s">
        <v>6</v>
      </c>
      <c r="B88" s="488" t="s">
        <v>90</v>
      </c>
      <c r="C88" s="489"/>
      <c r="D88" s="120">
        <f>+'Calculo Xerem 12x36 diu'!C188</f>
        <v>0</v>
      </c>
    </row>
    <row r="89" spans="1:4" s="60" customFormat="1" ht="13.5" x14ac:dyDescent="0.2">
      <c r="A89" s="34" t="s">
        <v>25</v>
      </c>
      <c r="B89" s="488" t="s">
        <v>287</v>
      </c>
      <c r="C89" s="489"/>
      <c r="D89" s="120"/>
    </row>
    <row r="90" spans="1:4" s="60" customFormat="1" x14ac:dyDescent="0.2">
      <c r="A90" s="34" t="s">
        <v>26</v>
      </c>
      <c r="B90" s="488" t="s">
        <v>93</v>
      </c>
      <c r="C90" s="489"/>
      <c r="D90" s="120">
        <f>+'Calculo Xerem 12x36 diu'!C196</f>
        <v>0</v>
      </c>
    </row>
    <row r="91" spans="1:4" x14ac:dyDescent="0.2">
      <c r="A91" s="6" t="s">
        <v>27</v>
      </c>
      <c r="B91" s="470" t="s">
        <v>36</v>
      </c>
      <c r="C91" s="471"/>
      <c r="D91" s="8"/>
    </row>
    <row r="92" spans="1:4" x14ac:dyDescent="0.2">
      <c r="A92" s="6" t="s">
        <v>28</v>
      </c>
      <c r="B92" s="470" t="s">
        <v>94</v>
      </c>
      <c r="C92" s="471"/>
      <c r="D92" s="384"/>
    </row>
    <row r="93" spans="1:4" x14ac:dyDescent="0.2">
      <c r="A93" s="474" t="s">
        <v>29</v>
      </c>
      <c r="B93" s="474"/>
      <c r="C93" s="474"/>
      <c r="D93" s="9">
        <f>SUM(D85:D92)</f>
        <v>0</v>
      </c>
    </row>
    <row r="94" spans="1:4" x14ac:dyDescent="0.2">
      <c r="D94" s="15"/>
    </row>
    <row r="95" spans="1:4" x14ac:dyDescent="0.2">
      <c r="A95" s="13" t="s">
        <v>99</v>
      </c>
      <c r="B95" s="463" t="s">
        <v>92</v>
      </c>
      <c r="C95" s="465"/>
      <c r="D95" s="248" t="s">
        <v>24</v>
      </c>
    </row>
    <row r="96" spans="1:4" s="60" customFormat="1" ht="25.5" customHeight="1" x14ac:dyDescent="0.2">
      <c r="A96" s="34" t="s">
        <v>3</v>
      </c>
      <c r="B96" s="475" t="s">
        <v>96</v>
      </c>
      <c r="C96" s="476"/>
      <c r="D96" s="120">
        <f>+'Calculo Xerem 12x36 diu'!C220</f>
        <v>0</v>
      </c>
    </row>
    <row r="97" spans="1:4" s="60" customFormat="1" ht="27" customHeight="1" x14ac:dyDescent="0.2">
      <c r="A97" s="34" t="s">
        <v>4</v>
      </c>
      <c r="B97" s="490" t="s">
        <v>98</v>
      </c>
      <c r="C97" s="491"/>
      <c r="D97" s="384"/>
    </row>
    <row r="98" spans="1:4" s="60" customFormat="1" ht="34.5" customHeight="1" x14ac:dyDescent="0.2">
      <c r="A98" s="34" t="s">
        <v>5</v>
      </c>
      <c r="B98" s="490" t="s">
        <v>97</v>
      </c>
      <c r="C98" s="491"/>
      <c r="D98" s="384"/>
    </row>
    <row r="99" spans="1:4" x14ac:dyDescent="0.2">
      <c r="A99" s="6" t="s">
        <v>6</v>
      </c>
      <c r="B99" s="470" t="s">
        <v>36</v>
      </c>
      <c r="C99" s="471"/>
      <c r="D99" s="8"/>
    </row>
    <row r="100" spans="1:4" x14ac:dyDescent="0.2">
      <c r="A100" s="474" t="s">
        <v>29</v>
      </c>
      <c r="B100" s="474"/>
      <c r="C100" s="474"/>
      <c r="D100" s="9">
        <f>SUM(D96:D99)</f>
        <v>0</v>
      </c>
    </row>
    <row r="101" spans="1:4" x14ac:dyDescent="0.2">
      <c r="D101" s="15"/>
    </row>
    <row r="102" spans="1:4" x14ac:dyDescent="0.2">
      <c r="A102" s="13" t="s">
        <v>91</v>
      </c>
      <c r="B102" s="474" t="s">
        <v>100</v>
      </c>
      <c r="C102" s="474"/>
      <c r="D102" s="248" t="s">
        <v>24</v>
      </c>
    </row>
    <row r="103" spans="1:4" s="50" customFormat="1" ht="31.5" customHeight="1" x14ac:dyDescent="0.2">
      <c r="A103" s="108" t="s">
        <v>3</v>
      </c>
      <c r="B103" s="492" t="s">
        <v>288</v>
      </c>
      <c r="C103" s="492"/>
      <c r="D103" s="49">
        <f>+'Calculo Xerem 12x36 diu'!C209</f>
        <v>0</v>
      </c>
    </row>
    <row r="104" spans="1:4" x14ac:dyDescent="0.2">
      <c r="A104" s="474" t="s">
        <v>29</v>
      </c>
      <c r="B104" s="474"/>
      <c r="C104" s="474"/>
      <c r="D104" s="9">
        <f>SUM(D103:D103)</f>
        <v>0</v>
      </c>
    </row>
    <row r="106" spans="1:4" x14ac:dyDescent="0.2">
      <c r="A106" s="252" t="s">
        <v>109</v>
      </c>
      <c r="B106" s="252"/>
      <c r="C106" s="252"/>
      <c r="D106" s="252"/>
    </row>
    <row r="107" spans="1:4" x14ac:dyDescent="0.2">
      <c r="A107" s="6" t="s">
        <v>85</v>
      </c>
      <c r="B107" s="470" t="s">
        <v>86</v>
      </c>
      <c r="C107" s="471"/>
      <c r="D107" s="18">
        <f>+D93</f>
        <v>0</v>
      </c>
    </row>
    <row r="108" spans="1:4" x14ac:dyDescent="0.2">
      <c r="A108" s="6" t="s">
        <v>99</v>
      </c>
      <c r="B108" s="470" t="s">
        <v>92</v>
      </c>
      <c r="C108" s="471"/>
      <c r="D108" s="18">
        <f>+D100</f>
        <v>0</v>
      </c>
    </row>
    <row r="109" spans="1:4" x14ac:dyDescent="0.2">
      <c r="A109" s="74"/>
      <c r="B109" s="472" t="s">
        <v>110</v>
      </c>
      <c r="C109" s="473"/>
      <c r="D109" s="73">
        <f>+D108+D107</f>
        <v>0</v>
      </c>
    </row>
    <row r="110" spans="1:4" x14ac:dyDescent="0.2">
      <c r="A110" s="6" t="s">
        <v>91</v>
      </c>
      <c r="B110" s="470" t="s">
        <v>100</v>
      </c>
      <c r="C110" s="471"/>
      <c r="D110" s="18">
        <f>+D104</f>
        <v>0</v>
      </c>
    </row>
    <row r="111" spans="1:4" x14ac:dyDescent="0.2">
      <c r="A111" s="494" t="s">
        <v>29</v>
      </c>
      <c r="B111" s="494"/>
      <c r="C111" s="494"/>
      <c r="D111" s="71">
        <f>+D110+D109</f>
        <v>0</v>
      </c>
    </row>
    <row r="113" spans="1:4" x14ac:dyDescent="0.2">
      <c r="A113" s="455" t="s">
        <v>151</v>
      </c>
      <c r="B113" s="455"/>
      <c r="C113" s="455"/>
      <c r="D113" s="455"/>
    </row>
    <row r="115" spans="1:4" x14ac:dyDescent="0.2">
      <c r="A115" s="13">
        <v>5</v>
      </c>
      <c r="B115" s="463" t="s">
        <v>152</v>
      </c>
      <c r="C115" s="465"/>
      <c r="D115" s="248" t="s">
        <v>24</v>
      </c>
    </row>
    <row r="116" spans="1:4" x14ac:dyDescent="0.2">
      <c r="A116" s="6" t="s">
        <v>3</v>
      </c>
      <c r="B116" s="388" t="s">
        <v>153</v>
      </c>
      <c r="C116" s="388"/>
      <c r="D116" s="8">
        <f>+Uniforme!G12</f>
        <v>0</v>
      </c>
    </row>
    <row r="117" spans="1:4" x14ac:dyDescent="0.2">
      <c r="A117" s="6" t="s">
        <v>177</v>
      </c>
      <c r="B117" s="34" t="s">
        <v>178</v>
      </c>
      <c r="C117" s="29">
        <f>+$C$135+$C$136</f>
        <v>3.6499999999999998E-2</v>
      </c>
      <c r="D117" s="77">
        <f>+(C117*D116)*-1</f>
        <v>0</v>
      </c>
    </row>
    <row r="118" spans="1:4" x14ac:dyDescent="0.2">
      <c r="A118" s="6" t="s">
        <v>4</v>
      </c>
      <c r="B118" s="388" t="s">
        <v>154</v>
      </c>
      <c r="C118" s="388"/>
      <c r="D118" s="8"/>
    </row>
    <row r="119" spans="1:4" x14ac:dyDescent="0.2">
      <c r="A119" s="6" t="s">
        <v>41</v>
      </c>
      <c r="B119" s="34" t="s">
        <v>178</v>
      </c>
      <c r="C119" s="29">
        <f>+$C$135+$C$136</f>
        <v>3.6499999999999998E-2</v>
      </c>
      <c r="D119" s="77">
        <f>+(C119*D118)*-1</f>
        <v>0</v>
      </c>
    </row>
    <row r="120" spans="1:4" x14ac:dyDescent="0.2">
      <c r="A120" s="6" t="s">
        <v>5</v>
      </c>
      <c r="B120" s="388" t="s">
        <v>155</v>
      </c>
      <c r="C120" s="388"/>
      <c r="D120" s="8">
        <f>+Uniforme!F27</f>
        <v>0</v>
      </c>
    </row>
    <row r="121" spans="1:4" x14ac:dyDescent="0.2">
      <c r="A121" s="6" t="s">
        <v>161</v>
      </c>
      <c r="B121" s="34" t="s">
        <v>178</v>
      </c>
      <c r="C121" s="29">
        <f>+$C$135+$C$136</f>
        <v>3.6499999999999998E-2</v>
      </c>
      <c r="D121" s="77">
        <f>+(C121*D120)*-1</f>
        <v>0</v>
      </c>
    </row>
    <row r="122" spans="1:4" x14ac:dyDescent="0.2">
      <c r="A122" s="6" t="s">
        <v>6</v>
      </c>
      <c r="B122" s="388" t="s">
        <v>36</v>
      </c>
      <c r="C122" s="388"/>
      <c r="D122" s="8"/>
    </row>
    <row r="123" spans="1:4" x14ac:dyDescent="0.2">
      <c r="A123" s="6" t="s">
        <v>179</v>
      </c>
      <c r="B123" s="34" t="s">
        <v>178</v>
      </c>
      <c r="C123" s="29">
        <f>+$C$135+$C$136</f>
        <v>3.6499999999999998E-2</v>
      </c>
      <c r="D123" s="77">
        <f>+(C123*D122)*-1</f>
        <v>0</v>
      </c>
    </row>
    <row r="124" spans="1:4" x14ac:dyDescent="0.2">
      <c r="A124" s="474" t="s">
        <v>29</v>
      </c>
      <c r="B124" s="474"/>
      <c r="C124" s="474"/>
      <c r="D124" s="9">
        <f>SUM(D116:D122)</f>
        <v>0</v>
      </c>
    </row>
    <row r="126" spans="1:4" x14ac:dyDescent="0.2">
      <c r="A126" s="455" t="s">
        <v>156</v>
      </c>
      <c r="B126" s="455"/>
      <c r="C126" s="455"/>
      <c r="D126" s="455"/>
    </row>
    <row r="128" spans="1:4" x14ac:dyDescent="0.2">
      <c r="A128" s="13">
        <v>6</v>
      </c>
      <c r="B128" s="14" t="s">
        <v>157</v>
      </c>
      <c r="C128" s="251" t="s">
        <v>50</v>
      </c>
      <c r="D128" s="248" t="s">
        <v>24</v>
      </c>
    </row>
    <row r="129" spans="1:4" x14ac:dyDescent="0.2">
      <c r="A129" s="116" t="s">
        <v>3</v>
      </c>
      <c r="B129" s="116" t="s">
        <v>158</v>
      </c>
      <c r="C129" s="114">
        <v>0.03</v>
      </c>
      <c r="D129" s="377">
        <f>($D$124+$D$111+$D$79+$D$68+$D$23)*C129</f>
        <v>0</v>
      </c>
    </row>
    <row r="130" spans="1:4" x14ac:dyDescent="0.2">
      <c r="A130" s="116" t="s">
        <v>4</v>
      </c>
      <c r="B130" s="116" t="s">
        <v>159</v>
      </c>
      <c r="C130" s="114">
        <v>0.03</v>
      </c>
      <c r="D130" s="377">
        <f>($D$124+$D$111+$D$79+$D$68+$D$23+D129)*C130</f>
        <v>0</v>
      </c>
    </row>
    <row r="131" spans="1:4" s="79" customFormat="1" x14ac:dyDescent="0.2">
      <c r="A131" s="495" t="s">
        <v>181</v>
      </c>
      <c r="B131" s="496"/>
      <c r="C131" s="497"/>
      <c r="D131" s="81">
        <f>++D130+D129+D124+D111+D79+D68+D23</f>
        <v>0</v>
      </c>
    </row>
    <row r="132" spans="1:4" s="79" customFormat="1" x14ac:dyDescent="0.2">
      <c r="A132" s="498" t="s">
        <v>182</v>
      </c>
      <c r="B132" s="499"/>
      <c r="C132" s="500"/>
      <c r="D132" s="81">
        <f>ROUND(D131/(1-(C135+C136+C138+C140+C141)),2)</f>
        <v>0</v>
      </c>
    </row>
    <row r="133" spans="1:4" x14ac:dyDescent="0.2">
      <c r="A133" s="6" t="s">
        <v>5</v>
      </c>
      <c r="B133" s="6" t="s">
        <v>160</v>
      </c>
      <c r="C133" s="17"/>
      <c r="D133" s="6"/>
    </row>
    <row r="134" spans="1:4" x14ac:dyDescent="0.2">
      <c r="A134" s="6" t="s">
        <v>161</v>
      </c>
      <c r="B134" s="6" t="s">
        <v>162</v>
      </c>
      <c r="C134" s="17"/>
      <c r="D134" s="6"/>
    </row>
    <row r="135" spans="1:4" x14ac:dyDescent="0.2">
      <c r="A135" s="116" t="s">
        <v>163</v>
      </c>
      <c r="B135" s="116" t="s">
        <v>165</v>
      </c>
      <c r="C135" s="114">
        <v>6.4999999999999997E-3</v>
      </c>
      <c r="D135" s="377">
        <f>ROUND(C135*$D$132,2)</f>
        <v>0</v>
      </c>
    </row>
    <row r="136" spans="1:4" x14ac:dyDescent="0.2">
      <c r="A136" s="116" t="s">
        <v>164</v>
      </c>
      <c r="B136" s="116" t="s">
        <v>166</v>
      </c>
      <c r="C136" s="114">
        <v>0.03</v>
      </c>
      <c r="D136" s="377">
        <f>ROUND(C136*$D$132,2)</f>
        <v>0</v>
      </c>
    </row>
    <row r="137" spans="1:4" x14ac:dyDescent="0.2">
      <c r="A137" s="6" t="s">
        <v>167</v>
      </c>
      <c r="B137" s="6" t="s">
        <v>168</v>
      </c>
      <c r="C137" s="17"/>
      <c r="D137" s="18"/>
    </row>
    <row r="138" spans="1:4" x14ac:dyDescent="0.2">
      <c r="A138" s="6" t="s">
        <v>170</v>
      </c>
      <c r="B138" s="6" t="s">
        <v>169</v>
      </c>
      <c r="C138" s="17"/>
      <c r="D138" s="6"/>
    </row>
    <row r="139" spans="1:4" x14ac:dyDescent="0.2">
      <c r="A139" s="6" t="s">
        <v>171</v>
      </c>
      <c r="B139" s="6" t="s">
        <v>172</v>
      </c>
      <c r="C139" s="17"/>
      <c r="D139" s="6"/>
    </row>
    <row r="140" spans="1:4" x14ac:dyDescent="0.2">
      <c r="A140" s="116" t="s">
        <v>173</v>
      </c>
      <c r="B140" s="116" t="s">
        <v>174</v>
      </c>
      <c r="C140" s="114">
        <v>0.05</v>
      </c>
      <c r="D140" s="377">
        <f>ROUND(C140*$D$132,2)</f>
        <v>0</v>
      </c>
    </row>
    <row r="141" spans="1:4" x14ac:dyDescent="0.2">
      <c r="A141" s="6" t="s">
        <v>175</v>
      </c>
      <c r="B141" s="6" t="s">
        <v>176</v>
      </c>
      <c r="C141" s="17"/>
      <c r="D141" s="6"/>
    </row>
    <row r="142" spans="1:4" x14ac:dyDescent="0.2">
      <c r="A142" s="463" t="s">
        <v>29</v>
      </c>
      <c r="B142" s="464"/>
      <c r="C142" s="80">
        <f>+C141+C140+C138+C136+C135+C130+C129</f>
        <v>0.14650000000000002</v>
      </c>
      <c r="D142" s="9">
        <f>+D140+D138+D136+D135+D130+D129</f>
        <v>0</v>
      </c>
    </row>
    <row r="144" spans="1:4" x14ac:dyDescent="0.2">
      <c r="A144" s="501" t="s">
        <v>183</v>
      </c>
      <c r="B144" s="501"/>
      <c r="C144" s="501"/>
      <c r="D144" s="501"/>
    </row>
    <row r="145" spans="1:4" x14ac:dyDescent="0.2">
      <c r="A145" s="6" t="s">
        <v>3</v>
      </c>
      <c r="B145" s="456" t="s">
        <v>185</v>
      </c>
      <c r="C145" s="456"/>
      <c r="D145" s="8">
        <f>+D23</f>
        <v>0</v>
      </c>
    </row>
    <row r="146" spans="1:4" x14ac:dyDescent="0.2">
      <c r="A146" s="6" t="s">
        <v>184</v>
      </c>
      <c r="B146" s="456" t="s">
        <v>186</v>
      </c>
      <c r="C146" s="456"/>
      <c r="D146" s="8">
        <f>+D68</f>
        <v>0</v>
      </c>
    </row>
    <row r="147" spans="1:4" x14ac:dyDescent="0.2">
      <c r="A147" s="6" t="s">
        <v>5</v>
      </c>
      <c r="B147" s="456" t="s">
        <v>187</v>
      </c>
      <c r="C147" s="456"/>
      <c r="D147" s="8">
        <f>+D79</f>
        <v>0</v>
      </c>
    </row>
    <row r="148" spans="1:4" x14ac:dyDescent="0.2">
      <c r="A148" s="6" t="s">
        <v>6</v>
      </c>
      <c r="B148" s="456" t="s">
        <v>188</v>
      </c>
      <c r="C148" s="456"/>
      <c r="D148" s="8">
        <f>+D111</f>
        <v>0</v>
      </c>
    </row>
    <row r="149" spans="1:4" x14ac:dyDescent="0.2">
      <c r="A149" s="6" t="s">
        <v>25</v>
      </c>
      <c r="B149" s="456" t="s">
        <v>189</v>
      </c>
      <c r="C149" s="456"/>
      <c r="D149" s="8">
        <f>+D124</f>
        <v>0</v>
      </c>
    </row>
    <row r="150" spans="1:4" x14ac:dyDescent="0.2">
      <c r="B150" s="457" t="s">
        <v>192</v>
      </c>
      <c r="C150" s="457"/>
      <c r="D150" s="72">
        <f>SUM(D145:D149)</f>
        <v>0</v>
      </c>
    </row>
    <row r="151" spans="1:4" x14ac:dyDescent="0.2">
      <c r="A151" s="6" t="s">
        <v>26</v>
      </c>
      <c r="B151" s="456" t="s">
        <v>190</v>
      </c>
      <c r="C151" s="456"/>
      <c r="D151" s="8">
        <f>+D142</f>
        <v>0</v>
      </c>
    </row>
    <row r="153" spans="1:4" x14ac:dyDescent="0.2">
      <c r="A153" s="493" t="s">
        <v>191</v>
      </c>
      <c r="B153" s="493"/>
      <c r="C153" s="493"/>
      <c r="D153" s="82">
        <f>ROUND(+D151+D150,2)</f>
        <v>0</v>
      </c>
    </row>
    <row r="155" spans="1:4" x14ac:dyDescent="0.2">
      <c r="A155" s="459" t="s">
        <v>77</v>
      </c>
      <c r="B155" s="459"/>
      <c r="C155" s="459"/>
      <c r="D155" s="459"/>
    </row>
    <row r="157" spans="1:4" x14ac:dyDescent="0.2">
      <c r="A157" s="6" t="s">
        <v>3</v>
      </c>
      <c r="B157" s="6" t="s">
        <v>46</v>
      </c>
      <c r="C157" s="44" t="e">
        <f>+C29</f>
        <v>#DIV/0!</v>
      </c>
      <c r="D157" s="8">
        <f>+D29</f>
        <v>0</v>
      </c>
    </row>
    <row r="158" spans="1:4" x14ac:dyDescent="0.2">
      <c r="A158" s="6" t="s">
        <v>4</v>
      </c>
      <c r="B158" s="6" t="s">
        <v>45</v>
      </c>
      <c r="C158" s="44" t="e">
        <f>+C31</f>
        <v>#DIV/0!</v>
      </c>
      <c r="D158" s="8">
        <f>+D31</f>
        <v>0</v>
      </c>
    </row>
    <row r="159" spans="1:4" x14ac:dyDescent="0.2">
      <c r="A159" s="6" t="s">
        <v>5</v>
      </c>
      <c r="B159" s="6" t="s">
        <v>44</v>
      </c>
      <c r="C159" s="44" t="e">
        <f>+C32</f>
        <v>#DIV/0!</v>
      </c>
      <c r="D159" s="8">
        <f>+D32</f>
        <v>0</v>
      </c>
    </row>
    <row r="160" spans="1:4" ht="25.5" x14ac:dyDescent="0.2">
      <c r="A160" s="6" t="s">
        <v>6</v>
      </c>
      <c r="B160" s="30" t="s">
        <v>75</v>
      </c>
      <c r="C160" s="17" t="e">
        <f>+C75</f>
        <v>#DIV/0!</v>
      </c>
      <c r="D160" s="8">
        <f>+D75</f>
        <v>0</v>
      </c>
    </row>
    <row r="161" spans="1:5" ht="25.5" x14ac:dyDescent="0.2">
      <c r="A161" s="6" t="s">
        <v>25</v>
      </c>
      <c r="B161" s="30" t="s">
        <v>76</v>
      </c>
      <c r="C161" s="44" t="e">
        <f>+C78</f>
        <v>#DIV/0!</v>
      </c>
      <c r="D161" s="18">
        <f>+D78</f>
        <v>0</v>
      </c>
    </row>
    <row r="162" spans="1:5" x14ac:dyDescent="0.2">
      <c r="A162" s="6" t="s">
        <v>81</v>
      </c>
      <c r="B162" s="34" t="s">
        <v>79</v>
      </c>
      <c r="C162" s="458" t="e">
        <f>+(D162+D163+D164)/D23</f>
        <v>#DIV/0!</v>
      </c>
      <c r="D162" s="8">
        <f>ROUND(D29*(SUM($C$37:$C$44)),2)</f>
        <v>0</v>
      </c>
    </row>
    <row r="163" spans="1:5" x14ac:dyDescent="0.2">
      <c r="A163" s="6" t="s">
        <v>82</v>
      </c>
      <c r="B163" s="34" t="s">
        <v>78</v>
      </c>
      <c r="C163" s="458"/>
      <c r="D163" s="8">
        <f>ROUND(D31*(SUM($C$37:$C$44)),2)</f>
        <v>0</v>
      </c>
    </row>
    <row r="164" spans="1:5" x14ac:dyDescent="0.2">
      <c r="A164" s="6" t="s">
        <v>83</v>
      </c>
      <c r="B164" s="34" t="s">
        <v>80</v>
      </c>
      <c r="C164" s="458"/>
      <c r="D164" s="8">
        <f>ROUND(D32*(SUM($C$37:$C$44)),2)</f>
        <v>0</v>
      </c>
    </row>
    <row r="165" spans="1:5" x14ac:dyDescent="0.2">
      <c r="A165" s="460" t="s">
        <v>29</v>
      </c>
      <c r="B165" s="461"/>
      <c r="C165" s="462"/>
      <c r="D165" s="45">
        <f>SUM(D157:D164)</f>
        <v>0</v>
      </c>
    </row>
    <row r="166" spans="1:5" x14ac:dyDescent="0.2">
      <c r="B166" s="96"/>
      <c r="C166" s="96"/>
      <c r="D166" s="96"/>
    </row>
    <row r="167" spans="1:5" s="67" customFormat="1" x14ac:dyDescent="0.2">
      <c r="A167" s="452" t="s">
        <v>289</v>
      </c>
      <c r="B167" s="452"/>
      <c r="C167" s="452"/>
      <c r="D167" s="452"/>
      <c r="E167" s="128"/>
    </row>
    <row r="168" spans="1:5" x14ac:dyDescent="0.2">
      <c r="A168" s="97"/>
      <c r="B168" s="97"/>
      <c r="C168" s="97"/>
      <c r="D168" s="97"/>
      <c r="E168" s="97"/>
    </row>
    <row r="169" spans="1:5" ht="30.75" customHeight="1" x14ac:dyDescent="0.2">
      <c r="A169" s="453" t="s">
        <v>290</v>
      </c>
      <c r="B169" s="453"/>
      <c r="C169" s="453"/>
      <c r="D169" s="453"/>
      <c r="E169" s="97"/>
    </row>
    <row r="170" spans="1:5" x14ac:dyDescent="0.2">
      <c r="A170" s="97"/>
      <c r="B170" s="97"/>
      <c r="C170" s="97"/>
      <c r="D170" s="97"/>
      <c r="E170" s="97"/>
    </row>
    <row r="171" spans="1:5" x14ac:dyDescent="0.2">
      <c r="A171" s="97" t="s">
        <v>362</v>
      </c>
      <c r="B171" s="97"/>
      <c r="C171" s="97"/>
      <c r="D171" s="97"/>
      <c r="E171" s="97"/>
    </row>
    <row r="172" spans="1:5" x14ac:dyDescent="0.2">
      <c r="A172" s="97"/>
      <c r="B172" s="97"/>
      <c r="C172" s="97"/>
      <c r="D172" s="97"/>
      <c r="E172" s="97"/>
    </row>
    <row r="173" spans="1:5" x14ac:dyDescent="0.2">
      <c r="A173" s="97"/>
      <c r="B173" s="97"/>
      <c r="C173" s="97"/>
      <c r="D173" s="97"/>
      <c r="E173" s="97"/>
    </row>
    <row r="174" spans="1:5" x14ac:dyDescent="0.2">
      <c r="A174" s="97"/>
      <c r="B174" s="97"/>
      <c r="C174" s="97"/>
      <c r="D174" s="97"/>
      <c r="E174" s="97"/>
    </row>
    <row r="175" spans="1:5" x14ac:dyDescent="0.2">
      <c r="A175" s="97"/>
      <c r="B175" s="97"/>
      <c r="C175" s="97"/>
      <c r="D175" s="97"/>
      <c r="E175" s="97"/>
    </row>
    <row r="176" spans="1:5" x14ac:dyDescent="0.2">
      <c r="A176" s="97"/>
      <c r="B176" s="97"/>
      <c r="C176" s="97"/>
      <c r="D176" s="97"/>
      <c r="E176" s="97"/>
    </row>
    <row r="177" spans="1:5" x14ac:dyDescent="0.2">
      <c r="A177" s="97"/>
      <c r="B177" s="97"/>
      <c r="C177" s="97"/>
      <c r="D177" s="97"/>
      <c r="E177" s="97"/>
    </row>
    <row r="178" spans="1:5" x14ac:dyDescent="0.2">
      <c r="A178" s="97"/>
      <c r="B178" s="97"/>
      <c r="C178" s="97"/>
      <c r="D178" s="97"/>
      <c r="E178" s="97"/>
    </row>
    <row r="179" spans="1:5" x14ac:dyDescent="0.2">
      <c r="A179" s="97"/>
      <c r="B179" s="97"/>
      <c r="C179" s="97"/>
      <c r="D179" s="97"/>
      <c r="E179" s="97"/>
    </row>
    <row r="180" spans="1:5" x14ac:dyDescent="0.2">
      <c r="A180" s="97"/>
      <c r="B180" s="97"/>
      <c r="C180" s="97"/>
      <c r="D180" s="97"/>
      <c r="E180" s="97"/>
    </row>
    <row r="181" spans="1:5" x14ac:dyDescent="0.2">
      <c r="A181" s="97"/>
      <c r="B181" s="97"/>
      <c r="C181" s="97"/>
      <c r="D181" s="97"/>
      <c r="E181" s="97"/>
    </row>
    <row r="182" spans="1:5" x14ac:dyDescent="0.2">
      <c r="A182" s="97"/>
      <c r="B182" s="97"/>
      <c r="C182" s="97"/>
      <c r="D182" s="97"/>
      <c r="E182" s="97"/>
    </row>
    <row r="183" spans="1:5" x14ac:dyDescent="0.2">
      <c r="A183" s="97"/>
      <c r="B183" s="97"/>
      <c r="C183" s="97"/>
      <c r="D183" s="97"/>
      <c r="E183" s="97"/>
    </row>
  </sheetData>
  <mergeCells count="83">
    <mergeCell ref="B17:C17"/>
    <mergeCell ref="A1:D1"/>
    <mergeCell ref="A3:D3"/>
    <mergeCell ref="C4:D4"/>
    <mergeCell ref="C5:D5"/>
    <mergeCell ref="C6:D6"/>
    <mergeCell ref="C7:D7"/>
    <mergeCell ref="C8:D8"/>
    <mergeCell ref="A10:D10"/>
    <mergeCell ref="B12:C12"/>
    <mergeCell ref="B15:C15"/>
    <mergeCell ref="B16:C16"/>
    <mergeCell ref="A61:B61"/>
    <mergeCell ref="B18:C18"/>
    <mergeCell ref="B19:C19"/>
    <mergeCell ref="B21:C21"/>
    <mergeCell ref="B22:C22"/>
    <mergeCell ref="A23:C23"/>
    <mergeCell ref="A25:D25"/>
    <mergeCell ref="A27:D27"/>
    <mergeCell ref="A33:C33"/>
    <mergeCell ref="A35:D35"/>
    <mergeCell ref="A47:D47"/>
    <mergeCell ref="B59:C59"/>
    <mergeCell ref="B85:C85"/>
    <mergeCell ref="A63:D63"/>
    <mergeCell ref="B64:C64"/>
    <mergeCell ref="B65:C65"/>
    <mergeCell ref="B66:C66"/>
    <mergeCell ref="B67:C67"/>
    <mergeCell ref="A68:C68"/>
    <mergeCell ref="A70:D70"/>
    <mergeCell ref="A79:C79"/>
    <mergeCell ref="A81:D81"/>
    <mergeCell ref="A83:D83"/>
    <mergeCell ref="B84:C84"/>
    <mergeCell ref="B98:C98"/>
    <mergeCell ref="B86:C86"/>
    <mergeCell ref="B87:C87"/>
    <mergeCell ref="B88:C88"/>
    <mergeCell ref="B89:C89"/>
    <mergeCell ref="B90:C90"/>
    <mergeCell ref="B91:C91"/>
    <mergeCell ref="B92:C92"/>
    <mergeCell ref="A93:C93"/>
    <mergeCell ref="B95:C95"/>
    <mergeCell ref="B96:C96"/>
    <mergeCell ref="B97:C97"/>
    <mergeCell ref="B115:C115"/>
    <mergeCell ref="B99:C99"/>
    <mergeCell ref="A100:C100"/>
    <mergeCell ref="B102:C102"/>
    <mergeCell ref="B103:C103"/>
    <mergeCell ref="A104:C104"/>
    <mergeCell ref="B107:C107"/>
    <mergeCell ref="B108:C108"/>
    <mergeCell ref="B109:C109"/>
    <mergeCell ref="B110:C110"/>
    <mergeCell ref="A111:C111"/>
    <mergeCell ref="A113:D113"/>
    <mergeCell ref="B146:C146"/>
    <mergeCell ref="B116:C116"/>
    <mergeCell ref="B118:C118"/>
    <mergeCell ref="B120:C120"/>
    <mergeCell ref="B122:C122"/>
    <mergeCell ref="A124:C124"/>
    <mergeCell ref="A126:D126"/>
    <mergeCell ref="A131:C131"/>
    <mergeCell ref="A132:C132"/>
    <mergeCell ref="A142:B142"/>
    <mergeCell ref="A144:D144"/>
    <mergeCell ref="B145:C145"/>
    <mergeCell ref="B147:C147"/>
    <mergeCell ref="B148:C148"/>
    <mergeCell ref="B149:C149"/>
    <mergeCell ref="B150:C150"/>
    <mergeCell ref="B151:C151"/>
    <mergeCell ref="A169:D169"/>
    <mergeCell ref="A153:C153"/>
    <mergeCell ref="A155:D155"/>
    <mergeCell ref="C162:C164"/>
    <mergeCell ref="A165:C165"/>
    <mergeCell ref="A167:D167"/>
  </mergeCells>
  <pageMargins left="1.3779527559055118" right="0.15748031496062992" top="0.39370078740157483" bottom="0.56999999999999995" header="0.31496062992125984" footer="0.31496062992125984"/>
  <pageSetup paperSize="9" scale="90" orientation="portrait" r:id="rId1"/>
  <headerFooter>
    <oddFooter>&amp;A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>
    <tabColor rgb="FFFF0000"/>
  </sheetPr>
  <dimension ref="A1:D230"/>
  <sheetViews>
    <sheetView workbookViewId="0">
      <selection activeCell="C5" sqref="C5"/>
    </sheetView>
  </sheetViews>
  <sheetFormatPr defaultRowHeight="12.75" x14ac:dyDescent="0.2"/>
  <cols>
    <col min="1" max="1" width="64.5" customWidth="1"/>
    <col min="2" max="2" width="12.25" bestFit="1" customWidth="1"/>
    <col min="3" max="3" width="11.875" bestFit="1" customWidth="1"/>
    <col min="4" max="4" width="9.375" bestFit="1" customWidth="1"/>
    <col min="5" max="5" width="69.125" customWidth="1"/>
  </cols>
  <sheetData>
    <row r="1" spans="1:3" ht="45.75" customHeight="1" x14ac:dyDescent="0.25">
      <c r="A1" s="581" t="s">
        <v>429</v>
      </c>
      <c r="B1" s="581"/>
      <c r="C1" s="581"/>
    </row>
    <row r="3" spans="1:3" x14ac:dyDescent="0.2">
      <c r="A3" s="6" t="s">
        <v>102</v>
      </c>
      <c r="B3" s="6">
        <v>220</v>
      </c>
    </row>
    <row r="4" spans="1:3" x14ac:dyDescent="0.2">
      <c r="A4" s="6" t="s">
        <v>228</v>
      </c>
      <c r="B4" s="6">
        <v>365.25</v>
      </c>
    </row>
    <row r="5" spans="1:3" x14ac:dyDescent="0.2">
      <c r="A5" s="6" t="s">
        <v>230</v>
      </c>
      <c r="B5" s="51">
        <f>(365.25/12/2)/(7/7)</f>
        <v>15.21875</v>
      </c>
    </row>
    <row r="6" spans="1:3" x14ac:dyDescent="0.2">
      <c r="A6" s="34" t="s">
        <v>30</v>
      </c>
      <c r="B6" s="18">
        <f>+'Vigilante Xerem 12x36 Diu Arm '!D12</f>
        <v>0</v>
      </c>
    </row>
    <row r="7" spans="1:3" x14ac:dyDescent="0.2">
      <c r="A7" s="34" t="s">
        <v>241</v>
      </c>
      <c r="B7" s="18">
        <f>+'Vigilante Xerem 12x36 Diu Arm '!D23</f>
        <v>0</v>
      </c>
    </row>
    <row r="9" spans="1:3" x14ac:dyDescent="0.2">
      <c r="A9" s="503" t="s">
        <v>209</v>
      </c>
      <c r="B9" s="503"/>
      <c r="C9" s="503"/>
    </row>
    <row r="10" spans="1:3" x14ac:dyDescent="0.2">
      <c r="A10" s="6" t="s">
        <v>30</v>
      </c>
      <c r="B10" s="52"/>
      <c r="C10" s="90">
        <f>+'Vigilante Xerem 12x36 Diu Arm '!D12</f>
        <v>0</v>
      </c>
    </row>
    <row r="11" spans="1:3" x14ac:dyDescent="0.2">
      <c r="A11" s="6" t="s">
        <v>31</v>
      </c>
      <c r="B11" s="52"/>
      <c r="C11" s="90">
        <f>+'Vigilante Xerem 12x36 Diu Arm '!D13</f>
        <v>0</v>
      </c>
    </row>
    <row r="12" spans="1:3" x14ac:dyDescent="0.2">
      <c r="A12" s="6" t="s">
        <v>32</v>
      </c>
      <c r="B12" s="52"/>
      <c r="C12" s="90">
        <f>+'Vigilante Xerem 12x36 Diu Arm '!D14</f>
        <v>0</v>
      </c>
    </row>
    <row r="13" spans="1:3" x14ac:dyDescent="0.2">
      <c r="A13" s="6" t="s">
        <v>33</v>
      </c>
      <c r="B13" s="52"/>
      <c r="C13" s="90">
        <f>+'Vigilante Xerem 12x36 Diu Arm '!D15</f>
        <v>0</v>
      </c>
    </row>
    <row r="14" spans="1:3" x14ac:dyDescent="0.2">
      <c r="A14" s="6" t="s">
        <v>34</v>
      </c>
      <c r="B14" s="52"/>
      <c r="C14" s="90">
        <f>+'Vigilante Xerem 12x36 Diu Arm '!D16</f>
        <v>0</v>
      </c>
    </row>
    <row r="15" spans="1:3" x14ac:dyDescent="0.2">
      <c r="A15" t="s">
        <v>65</v>
      </c>
      <c r="B15" s="52"/>
      <c r="C15" s="90">
        <f>+'Vigilante Xerem 12x36 Diu Arm '!D20</f>
        <v>0</v>
      </c>
    </row>
    <row r="16" spans="1:3" x14ac:dyDescent="0.2">
      <c r="A16" s="35" t="s">
        <v>193</v>
      </c>
      <c r="B16" s="101"/>
      <c r="C16" s="102">
        <f>SUM(C10:C15)</f>
        <v>0</v>
      </c>
    </row>
    <row r="17" spans="1:3" x14ac:dyDescent="0.2">
      <c r="A17" s="6" t="s">
        <v>102</v>
      </c>
      <c r="B17" s="57">
        <f>+B3</f>
        <v>220</v>
      </c>
      <c r="C17" s="54"/>
    </row>
    <row r="18" spans="1:3" x14ac:dyDescent="0.2">
      <c r="A18" s="35" t="s">
        <v>103</v>
      </c>
      <c r="B18" s="101"/>
      <c r="C18" s="36">
        <f>+C16/B17</f>
        <v>0</v>
      </c>
    </row>
    <row r="19" spans="1:3" x14ac:dyDescent="0.2">
      <c r="A19" s="6" t="s">
        <v>197</v>
      </c>
      <c r="B19" s="6">
        <v>16</v>
      </c>
      <c r="C19" s="54"/>
    </row>
    <row r="20" spans="1:3" x14ac:dyDescent="0.2">
      <c r="A20" s="6" t="s">
        <v>198</v>
      </c>
      <c r="B20" s="6">
        <v>12</v>
      </c>
      <c r="C20" s="54"/>
    </row>
    <row r="21" spans="1:3" x14ac:dyDescent="0.2">
      <c r="A21" s="6" t="s">
        <v>199</v>
      </c>
      <c r="B21" s="6">
        <f>+B20*B19</f>
        <v>192</v>
      </c>
      <c r="C21" s="8">
        <f>+B21*C18</f>
        <v>0</v>
      </c>
    </row>
    <row r="22" spans="1:3" x14ac:dyDescent="0.2">
      <c r="A22" s="6" t="s">
        <v>200</v>
      </c>
      <c r="B22" s="17">
        <v>0.5</v>
      </c>
      <c r="C22" s="8">
        <f>+B22*C21</f>
        <v>0</v>
      </c>
    </row>
    <row r="23" spans="1:3" x14ac:dyDescent="0.2">
      <c r="A23" s="6" t="s">
        <v>201</v>
      </c>
      <c r="B23" s="17">
        <v>1</v>
      </c>
      <c r="C23" s="8">
        <f>+B23*C22</f>
        <v>0</v>
      </c>
    </row>
    <row r="24" spans="1:3" x14ac:dyDescent="0.2">
      <c r="A24" s="6" t="s">
        <v>202</v>
      </c>
      <c r="B24" s="6">
        <v>12</v>
      </c>
      <c r="C24" s="91"/>
    </row>
    <row r="25" spans="1:3" x14ac:dyDescent="0.2">
      <c r="A25" s="504" t="s">
        <v>203</v>
      </c>
      <c r="B25" s="505"/>
      <c r="C25" s="45">
        <f>+C23/B24</f>
        <v>0</v>
      </c>
    </row>
    <row r="26" spans="1:3" x14ac:dyDescent="0.2">
      <c r="C26" s="15"/>
    </row>
    <row r="27" spans="1:3" x14ac:dyDescent="0.2">
      <c r="A27" s="503" t="s">
        <v>210</v>
      </c>
      <c r="B27" s="503"/>
      <c r="C27" s="503"/>
    </row>
    <row r="28" spans="1:3" x14ac:dyDescent="0.2">
      <c r="A28" s="6" t="s">
        <v>103</v>
      </c>
      <c r="B28" s="52"/>
      <c r="C28" s="90">
        <f>+C18</f>
        <v>0</v>
      </c>
    </row>
    <row r="29" spans="1:3" x14ac:dyDescent="0.2">
      <c r="A29" s="6" t="s">
        <v>199</v>
      </c>
      <c r="B29" s="6">
        <v>192</v>
      </c>
      <c r="C29" s="54"/>
    </row>
    <row r="30" spans="1:3" x14ac:dyDescent="0.2">
      <c r="A30" s="6" t="s">
        <v>204</v>
      </c>
      <c r="B30" s="6">
        <f>+$B$4</f>
        <v>365.25</v>
      </c>
      <c r="C30" s="54"/>
    </row>
    <row r="31" spans="1:3" x14ac:dyDescent="0.2">
      <c r="A31" s="6" t="s">
        <v>197</v>
      </c>
      <c r="B31" s="6">
        <v>16</v>
      </c>
      <c r="C31" s="54"/>
    </row>
    <row r="32" spans="1:3" x14ac:dyDescent="0.2">
      <c r="A32" s="6" t="s">
        <v>200</v>
      </c>
      <c r="B32" s="17">
        <v>0.5</v>
      </c>
      <c r="C32" s="54"/>
    </row>
    <row r="33" spans="1:3" x14ac:dyDescent="0.2">
      <c r="A33" s="6" t="s">
        <v>205</v>
      </c>
      <c r="B33" s="92">
        <f>ROUND(((B30/7)*6)-B31,2)</f>
        <v>297.07</v>
      </c>
      <c r="C33" s="54"/>
    </row>
    <row r="34" spans="1:3" x14ac:dyDescent="0.2">
      <c r="A34" s="6" t="s">
        <v>206</v>
      </c>
      <c r="B34" s="34">
        <v>12</v>
      </c>
      <c r="C34" s="54"/>
    </row>
    <row r="35" spans="1:3" ht="25.5" x14ac:dyDescent="0.2">
      <c r="A35" s="30" t="s">
        <v>207</v>
      </c>
      <c r="B35" s="6">
        <f>+((B29/B34)*B32)/B33</f>
        <v>2.6929679873430507E-2</v>
      </c>
      <c r="C35" s="54"/>
    </row>
    <row r="36" spans="1:3" x14ac:dyDescent="0.2">
      <c r="A36" s="24" t="s">
        <v>208</v>
      </c>
      <c r="B36" s="24"/>
      <c r="C36" s="45">
        <f>+C28*(B30-B33)*B35</f>
        <v>0</v>
      </c>
    </row>
    <row r="37" spans="1:3" x14ac:dyDescent="0.2">
      <c r="C37" s="15"/>
    </row>
    <row r="38" spans="1:3" x14ac:dyDescent="0.2">
      <c r="A38" s="459" t="s">
        <v>107</v>
      </c>
      <c r="B38" s="459"/>
      <c r="C38" s="459"/>
    </row>
    <row r="39" spans="1:3" x14ac:dyDescent="0.2">
      <c r="A39" s="55" t="s">
        <v>30</v>
      </c>
      <c r="B39" s="86"/>
      <c r="C39" s="56">
        <f>+'Vigilante Xerem 12x36 Diu Arm '!D12</f>
        <v>0</v>
      </c>
    </row>
    <row r="40" spans="1:3" x14ac:dyDescent="0.2">
      <c r="A40" s="55" t="s">
        <v>31</v>
      </c>
      <c r="B40" s="58"/>
      <c r="C40" s="56">
        <f>+'Vigilante Xerem 12x36 Diu Arm '!D13</f>
        <v>0</v>
      </c>
    </row>
    <row r="41" spans="1:3" x14ac:dyDescent="0.2">
      <c r="A41" s="55" t="s">
        <v>32</v>
      </c>
      <c r="B41" s="58"/>
      <c r="C41" s="56">
        <f>+'Vigilante Xerem 12x36 Diu Arm '!D14</f>
        <v>0</v>
      </c>
    </row>
    <row r="42" spans="1:3" x14ac:dyDescent="0.2">
      <c r="A42" s="55" t="s">
        <v>33</v>
      </c>
      <c r="B42" s="58"/>
      <c r="C42" s="56">
        <f>+'Vigilante Xerem 12x36 Diu Arm '!D15</f>
        <v>0</v>
      </c>
    </row>
    <row r="43" spans="1:3" x14ac:dyDescent="0.2">
      <c r="A43" s="55" t="s">
        <v>34</v>
      </c>
      <c r="B43" s="58"/>
      <c r="C43" s="56">
        <f>+'Vigilante Xerem 12x36 Diu Arm '!D16</f>
        <v>0</v>
      </c>
    </row>
    <row r="44" spans="1:3" x14ac:dyDescent="0.2">
      <c r="A44" s="55" t="s">
        <v>35</v>
      </c>
      <c r="B44" s="58"/>
      <c r="C44" s="56">
        <f>+'Vigilante Xerem 12x36 Diu Arm '!D18</f>
        <v>0</v>
      </c>
    </row>
    <row r="45" spans="1:3" x14ac:dyDescent="0.2">
      <c r="A45" s="55" t="s">
        <v>65</v>
      </c>
      <c r="B45" s="58"/>
      <c r="C45" s="56">
        <f>+'Vigilante Xerem 12x36 Diu Arm '!D20</f>
        <v>0</v>
      </c>
    </row>
    <row r="46" spans="1:3" x14ac:dyDescent="0.2">
      <c r="A46" s="35" t="s">
        <v>101</v>
      </c>
      <c r="B46" s="99"/>
      <c r="C46" s="100">
        <f>SUM(C39:C45)</f>
        <v>0</v>
      </c>
    </row>
    <row r="47" spans="1:3" x14ac:dyDescent="0.2">
      <c r="A47" s="6" t="s">
        <v>102</v>
      </c>
      <c r="B47" s="57">
        <f>+B3</f>
        <v>220</v>
      </c>
      <c r="C47" s="58"/>
    </row>
    <row r="48" spans="1:3" x14ac:dyDescent="0.2">
      <c r="A48" s="6" t="s">
        <v>103</v>
      </c>
      <c r="B48" s="58"/>
      <c r="C48" s="59">
        <f>ROUND(+C46/B47,2)</f>
        <v>0</v>
      </c>
    </row>
    <row r="49" spans="1:3" x14ac:dyDescent="0.2">
      <c r="A49" s="6" t="s">
        <v>229</v>
      </c>
      <c r="B49" s="51">
        <f>(365.25/12/2)/(7/7)</f>
        <v>15.21875</v>
      </c>
      <c r="C49" s="58"/>
    </row>
    <row r="50" spans="1:3" x14ac:dyDescent="0.2">
      <c r="A50" s="6" t="s">
        <v>105</v>
      </c>
      <c r="B50" s="17">
        <v>0.5</v>
      </c>
      <c r="C50" s="6"/>
    </row>
    <row r="51" spans="1:3" x14ac:dyDescent="0.2">
      <c r="A51" s="504" t="s">
        <v>106</v>
      </c>
      <c r="B51" s="505"/>
      <c r="C51" s="45">
        <f>ROUND((B49*C48)*(1+B50),2)</f>
        <v>0</v>
      </c>
    </row>
    <row r="53" spans="1:3" x14ac:dyDescent="0.2">
      <c r="A53" s="459" t="s">
        <v>212</v>
      </c>
      <c r="B53" s="459"/>
      <c r="C53" s="459"/>
    </row>
    <row r="54" spans="1:3" x14ac:dyDescent="0.2">
      <c r="A54" s="6" t="s">
        <v>204</v>
      </c>
      <c r="B54" s="6">
        <v>365.25</v>
      </c>
      <c r="C54" s="52"/>
    </row>
    <row r="55" spans="1:3" x14ac:dyDescent="0.2">
      <c r="A55" s="6" t="s">
        <v>206</v>
      </c>
      <c r="B55" s="34">
        <v>12</v>
      </c>
      <c r="C55" s="52"/>
    </row>
    <row r="56" spans="1:3" x14ac:dyDescent="0.2">
      <c r="A56" s="6" t="s">
        <v>213</v>
      </c>
      <c r="B56" s="17">
        <v>0.5</v>
      </c>
      <c r="C56" s="52"/>
    </row>
    <row r="57" spans="1:3" x14ac:dyDescent="0.2">
      <c r="A57" s="103" t="s">
        <v>428</v>
      </c>
      <c r="B57" s="34">
        <v>7</v>
      </c>
      <c r="C57" s="52"/>
    </row>
    <row r="58" spans="1:3" x14ac:dyDescent="0.2">
      <c r="A58" s="34" t="s">
        <v>214</v>
      </c>
      <c r="B58" s="52"/>
      <c r="C58" s="18">
        <f>+'Vigilante Xerem 12x36 Diu Arm '!$D$12</f>
        <v>0</v>
      </c>
    </row>
    <row r="59" spans="1:3" x14ac:dyDescent="0.2">
      <c r="A59" s="34" t="s">
        <v>31</v>
      </c>
      <c r="B59" s="52"/>
      <c r="C59" s="18">
        <f>+'Vigilante Xerem 12x36 Diu Arm '!$D$13</f>
        <v>0</v>
      </c>
    </row>
    <row r="60" spans="1:3" x14ac:dyDescent="0.2">
      <c r="A60" s="34" t="s">
        <v>32</v>
      </c>
      <c r="B60" s="52"/>
      <c r="C60" s="18">
        <f>+'Vigilante Xerem 12x36 Diu Arm '!$D$14</f>
        <v>0</v>
      </c>
    </row>
    <row r="61" spans="1:3" x14ac:dyDescent="0.2">
      <c r="A61" s="104" t="s">
        <v>193</v>
      </c>
      <c r="B61" s="52"/>
      <c r="C61" s="105">
        <f>SUM(C58:C60)</f>
        <v>0</v>
      </c>
    </row>
    <row r="62" spans="1:3" x14ac:dyDescent="0.2">
      <c r="A62" s="6" t="s">
        <v>102</v>
      </c>
      <c r="B62" s="106">
        <f>+B3</f>
        <v>220</v>
      </c>
      <c r="C62" s="52"/>
    </row>
    <row r="63" spans="1:3" x14ac:dyDescent="0.2">
      <c r="A63" s="34" t="s">
        <v>215</v>
      </c>
      <c r="B63" s="17">
        <v>0.2</v>
      </c>
      <c r="C63" s="52"/>
    </row>
    <row r="64" spans="1:3" x14ac:dyDescent="0.2">
      <c r="A64" s="34" t="s">
        <v>216</v>
      </c>
      <c r="B64" s="52"/>
      <c r="C64" s="8">
        <f>ROUND((C61/B62)*B63,2)</f>
        <v>0</v>
      </c>
    </row>
    <row r="65" spans="1:3" x14ac:dyDescent="0.2">
      <c r="A65" s="34" t="s">
        <v>217</v>
      </c>
      <c r="B65" s="6">
        <f>ROUND(+B54/B55*B56*B57,0)</f>
        <v>107</v>
      </c>
      <c r="C65" s="53"/>
    </row>
    <row r="66" spans="1:3" x14ac:dyDescent="0.2">
      <c r="A66" s="506" t="s">
        <v>218</v>
      </c>
      <c r="B66" s="506"/>
      <c r="C66" s="32">
        <f>ROUND(+B65*C64,2)</f>
        <v>0</v>
      </c>
    </row>
    <row r="68" spans="1:3" x14ac:dyDescent="0.2">
      <c r="A68" s="503" t="s">
        <v>232</v>
      </c>
      <c r="B68" s="503"/>
      <c r="C68" s="503"/>
    </row>
    <row r="69" spans="1:3" x14ac:dyDescent="0.2">
      <c r="A69" s="6" t="s">
        <v>103</v>
      </c>
      <c r="B69" s="52"/>
      <c r="C69" s="90">
        <f>+C66</f>
        <v>0</v>
      </c>
    </row>
    <row r="70" spans="1:3" x14ac:dyDescent="0.2">
      <c r="A70" s="6" t="s">
        <v>199</v>
      </c>
      <c r="B70" s="6">
        <v>192</v>
      </c>
      <c r="C70" s="54"/>
    </row>
    <row r="71" spans="1:3" x14ac:dyDescent="0.2">
      <c r="A71" s="6" t="s">
        <v>204</v>
      </c>
      <c r="B71" s="6">
        <f>+$B$4</f>
        <v>365.25</v>
      </c>
      <c r="C71" s="54"/>
    </row>
    <row r="72" spans="1:3" x14ac:dyDescent="0.2">
      <c r="A72" s="6" t="s">
        <v>197</v>
      </c>
      <c r="B72" s="6">
        <v>16</v>
      </c>
      <c r="C72" s="54"/>
    </row>
    <row r="73" spans="1:3" x14ac:dyDescent="0.2">
      <c r="A73" s="6" t="s">
        <v>200</v>
      </c>
      <c r="B73" s="17">
        <v>0.5</v>
      </c>
      <c r="C73" s="54"/>
    </row>
    <row r="74" spans="1:3" x14ac:dyDescent="0.2">
      <c r="A74" s="6" t="s">
        <v>205</v>
      </c>
      <c r="B74" s="92">
        <f>ROUND(((B71/7)*6)-B72,2)</f>
        <v>297.07</v>
      </c>
      <c r="C74" s="54"/>
    </row>
    <row r="75" spans="1:3" x14ac:dyDescent="0.2">
      <c r="A75" s="6" t="s">
        <v>206</v>
      </c>
      <c r="B75" s="34">
        <v>12</v>
      </c>
      <c r="C75" s="54"/>
    </row>
    <row r="76" spans="1:3" ht="25.5" x14ac:dyDescent="0.2">
      <c r="A76" s="30" t="s">
        <v>207</v>
      </c>
      <c r="B76" s="6">
        <f>+((B70/B75)*B73)/B74</f>
        <v>2.6929679873430507E-2</v>
      </c>
      <c r="C76" s="54"/>
    </row>
    <row r="77" spans="1:3" x14ac:dyDescent="0.2">
      <c r="A77" s="24" t="s">
        <v>208</v>
      </c>
      <c r="B77" s="24"/>
      <c r="C77" s="45">
        <f>+C69/B70*(B71-B74)*B76</f>
        <v>0</v>
      </c>
    </row>
    <row r="79" spans="1:3" x14ac:dyDescent="0.2">
      <c r="A79" s="459" t="s">
        <v>219</v>
      </c>
      <c r="B79" s="459"/>
      <c r="C79" s="459"/>
    </row>
    <row r="80" spans="1:3" x14ac:dyDescent="0.2">
      <c r="A80" s="6" t="s">
        <v>204</v>
      </c>
      <c r="B80" s="6">
        <f>+$B$4</f>
        <v>365.25</v>
      </c>
      <c r="C80" s="52"/>
    </row>
    <row r="81" spans="1:4" x14ac:dyDescent="0.2">
      <c r="A81" s="6" t="s">
        <v>206</v>
      </c>
      <c r="B81" s="34">
        <v>12</v>
      </c>
      <c r="C81" s="52"/>
    </row>
    <row r="82" spans="1:4" x14ac:dyDescent="0.2">
      <c r="A82" s="6" t="s">
        <v>213</v>
      </c>
      <c r="B82" s="17">
        <v>0.5</v>
      </c>
      <c r="C82" s="52"/>
      <c r="D82" s="109"/>
    </row>
    <row r="83" spans="1:4" x14ac:dyDescent="0.2">
      <c r="A83" s="103" t="s">
        <v>428</v>
      </c>
      <c r="B83" s="34">
        <v>7</v>
      </c>
      <c r="C83" s="52"/>
      <c r="D83" s="109"/>
    </row>
    <row r="84" spans="1:4" x14ac:dyDescent="0.2">
      <c r="A84" s="34" t="s">
        <v>220</v>
      </c>
      <c r="B84" s="51">
        <f>(365.25/12/2)/(7/7)</f>
        <v>15.21875</v>
      </c>
      <c r="C84" s="6"/>
      <c r="D84" s="109"/>
    </row>
    <row r="85" spans="1:4" x14ac:dyDescent="0.2">
      <c r="A85" s="34" t="s">
        <v>221</v>
      </c>
      <c r="B85" s="6">
        <f>ROUND(+B84*B83,2)</f>
        <v>106.53</v>
      </c>
      <c r="C85" s="6"/>
    </row>
    <row r="86" spans="1:4" x14ac:dyDescent="0.2">
      <c r="A86" s="34" t="s">
        <v>214</v>
      </c>
      <c r="B86" s="52"/>
      <c r="C86" s="18">
        <f>+'Vigilante Xerem 12x36 Diu Arm '!$D$12</f>
        <v>0</v>
      </c>
    </row>
    <row r="87" spans="1:4" x14ac:dyDescent="0.2">
      <c r="A87" s="34" t="s">
        <v>31</v>
      </c>
      <c r="B87" s="52"/>
      <c r="C87" s="18">
        <f>+'Vigilante Xerem 12x36 Diu Arm '!$D$13</f>
        <v>0</v>
      </c>
    </row>
    <row r="88" spans="1:4" x14ac:dyDescent="0.2">
      <c r="A88" s="34" t="s">
        <v>32</v>
      </c>
      <c r="B88" s="52"/>
      <c r="C88" s="18">
        <f>+'Vigilante Xerem 12x36 Diu Arm '!$D$14</f>
        <v>0</v>
      </c>
    </row>
    <row r="89" spans="1:4" x14ac:dyDescent="0.2">
      <c r="A89" s="104" t="s">
        <v>193</v>
      </c>
      <c r="B89" s="52"/>
      <c r="C89" s="105">
        <f>SUM(C86:C88)</f>
        <v>0</v>
      </c>
      <c r="D89" s="88"/>
    </row>
    <row r="90" spans="1:4" x14ac:dyDescent="0.2">
      <c r="A90" s="6" t="s">
        <v>102</v>
      </c>
      <c r="B90" s="106">
        <f>+B3</f>
        <v>220</v>
      </c>
      <c r="C90" s="52"/>
    </row>
    <row r="91" spans="1:4" x14ac:dyDescent="0.2">
      <c r="A91" s="34" t="s">
        <v>215</v>
      </c>
      <c r="B91" s="17">
        <v>0.2</v>
      </c>
      <c r="C91" s="52"/>
    </row>
    <row r="92" spans="1:4" x14ac:dyDescent="0.2">
      <c r="A92" s="34" t="s">
        <v>216</v>
      </c>
      <c r="B92" s="52"/>
      <c r="C92" s="8">
        <f>ROUND((C89/B90)*B91,2)</f>
        <v>0</v>
      </c>
    </row>
    <row r="93" spans="1:4" x14ac:dyDescent="0.2">
      <c r="A93" s="34" t="s">
        <v>223</v>
      </c>
      <c r="B93" s="6">
        <v>60</v>
      </c>
      <c r="C93" s="52"/>
    </row>
    <row r="94" spans="1:4" x14ac:dyDescent="0.2">
      <c r="A94" s="34" t="s">
        <v>222</v>
      </c>
      <c r="B94" s="6">
        <v>52.5</v>
      </c>
      <c r="C94" s="52"/>
    </row>
    <row r="95" spans="1:4" x14ac:dyDescent="0.2">
      <c r="A95" s="34" t="s">
        <v>224</v>
      </c>
      <c r="B95" s="6">
        <f>+B93/B94</f>
        <v>1.1428571428571428</v>
      </c>
      <c r="C95" s="52"/>
    </row>
    <row r="96" spans="1:4" x14ac:dyDescent="0.2">
      <c r="A96" s="34" t="s">
        <v>225</v>
      </c>
      <c r="B96" s="6">
        <f>ROUND(+B95*B85,2)</f>
        <v>121.75</v>
      </c>
      <c r="C96" s="52"/>
    </row>
    <row r="97" spans="1:3" x14ac:dyDescent="0.2">
      <c r="A97" s="34" t="s">
        <v>226</v>
      </c>
      <c r="B97" s="6">
        <f>ROUND(B96-B85,2)</f>
        <v>15.22</v>
      </c>
      <c r="C97" s="53"/>
    </row>
    <row r="98" spans="1:3" x14ac:dyDescent="0.2">
      <c r="A98" s="494" t="s">
        <v>227</v>
      </c>
      <c r="B98" s="494"/>
      <c r="C98" s="71">
        <f>+B97*C92</f>
        <v>0</v>
      </c>
    </row>
    <row r="100" spans="1:3" x14ac:dyDescent="0.2">
      <c r="A100" s="459" t="s">
        <v>233</v>
      </c>
      <c r="B100" s="459"/>
      <c r="C100" s="459"/>
    </row>
    <row r="101" spans="1:3" x14ac:dyDescent="0.2">
      <c r="A101" s="6" t="s">
        <v>204</v>
      </c>
      <c r="B101" s="6">
        <f>+$B$4</f>
        <v>365.25</v>
      </c>
      <c r="C101" s="52"/>
    </row>
    <row r="102" spans="1:3" x14ac:dyDescent="0.2">
      <c r="A102" s="6" t="s">
        <v>206</v>
      </c>
      <c r="B102" s="34">
        <v>12</v>
      </c>
      <c r="C102" s="52"/>
    </row>
    <row r="103" spans="1:3" x14ac:dyDescent="0.2">
      <c r="A103" s="6" t="s">
        <v>213</v>
      </c>
      <c r="B103" s="17">
        <v>0.5</v>
      </c>
      <c r="C103" s="52"/>
    </row>
    <row r="104" spans="1:3" x14ac:dyDescent="0.2">
      <c r="A104" s="34" t="s">
        <v>234</v>
      </c>
      <c r="B104" s="6">
        <f>ROUND((B101/B102)*B103,2)</f>
        <v>15.22</v>
      </c>
      <c r="C104" s="52"/>
    </row>
    <row r="105" spans="1:3" x14ac:dyDescent="0.2">
      <c r="A105" s="205" t="s">
        <v>235</v>
      </c>
      <c r="B105" s="206"/>
      <c r="C105" s="52"/>
    </row>
    <row r="106" spans="1:3" x14ac:dyDescent="0.2">
      <c r="A106" s="6" t="s">
        <v>236</v>
      </c>
      <c r="B106" s="17">
        <v>0.06</v>
      </c>
      <c r="C106" s="52"/>
    </row>
    <row r="107" spans="1:3" x14ac:dyDescent="0.2">
      <c r="A107" s="504" t="s">
        <v>237</v>
      </c>
      <c r="B107" s="505"/>
      <c r="C107" s="45">
        <f>ROUND((B104*(B105*2)-($B$6*B106)),2)</f>
        <v>0</v>
      </c>
    </row>
    <row r="109" spans="1:3" x14ac:dyDescent="0.2">
      <c r="A109" s="459" t="s">
        <v>238</v>
      </c>
      <c r="B109" s="459"/>
      <c r="C109" s="459"/>
    </row>
    <row r="110" spans="1:3" x14ac:dyDescent="0.2">
      <c r="A110" s="6" t="s">
        <v>204</v>
      </c>
      <c r="B110" s="6">
        <f>+$B$4</f>
        <v>365.25</v>
      </c>
      <c r="C110" s="52"/>
    </row>
    <row r="111" spans="1:3" x14ac:dyDescent="0.2">
      <c r="A111" s="6" t="s">
        <v>206</v>
      </c>
      <c r="B111" s="34">
        <v>12</v>
      </c>
      <c r="C111" s="52"/>
    </row>
    <row r="112" spans="1:3" x14ac:dyDescent="0.2">
      <c r="A112" s="6" t="s">
        <v>213</v>
      </c>
      <c r="B112" s="17">
        <v>0.5</v>
      </c>
      <c r="C112" s="52"/>
    </row>
    <row r="113" spans="1:3" x14ac:dyDescent="0.2">
      <c r="A113" s="34" t="s">
        <v>234</v>
      </c>
      <c r="B113" s="6">
        <f>ROUND((B110/B111)*B112,2)</f>
        <v>15.22</v>
      </c>
      <c r="C113" s="52"/>
    </row>
    <row r="114" spans="1:3" x14ac:dyDescent="0.2">
      <c r="A114" s="205" t="s">
        <v>239</v>
      </c>
      <c r="B114" s="206"/>
      <c r="C114" s="52"/>
    </row>
    <row r="115" spans="1:3" x14ac:dyDescent="0.2">
      <c r="A115" s="6" t="s">
        <v>366</v>
      </c>
      <c r="B115" s="17">
        <v>0.2</v>
      </c>
      <c r="C115" s="52"/>
    </row>
    <row r="116" spans="1:3" x14ac:dyDescent="0.2">
      <c r="A116" s="504" t="s">
        <v>239</v>
      </c>
      <c r="B116" s="505"/>
      <c r="C116" s="45">
        <f>ROUND((B113*(B114)-((B113*B114)*B115)),2)</f>
        <v>0</v>
      </c>
    </row>
    <row r="118" spans="1:3" x14ac:dyDescent="0.2">
      <c r="A118" s="459" t="s">
        <v>240</v>
      </c>
      <c r="B118" s="459"/>
      <c r="C118" s="459"/>
    </row>
    <row r="119" spans="1:3" x14ac:dyDescent="0.2">
      <c r="A119" s="6" t="s">
        <v>242</v>
      </c>
      <c r="B119" s="18">
        <f>+B7</f>
        <v>0</v>
      </c>
      <c r="C119" s="52"/>
    </row>
    <row r="120" spans="1:3" x14ac:dyDescent="0.2">
      <c r="A120" s="6" t="s">
        <v>243</v>
      </c>
      <c r="B120" s="6">
        <v>12</v>
      </c>
      <c r="C120" s="52"/>
    </row>
    <row r="121" spans="1:3" x14ac:dyDescent="0.2">
      <c r="A121" s="116" t="s">
        <v>244</v>
      </c>
      <c r="B121" s="114"/>
      <c r="C121" s="52"/>
    </row>
    <row r="122" spans="1:3" x14ac:dyDescent="0.2">
      <c r="A122" s="494" t="s">
        <v>245</v>
      </c>
      <c r="B122" s="494"/>
      <c r="C122" s="45">
        <f>ROUND(+(B119/B120)*B121,2)</f>
        <v>0</v>
      </c>
    </row>
    <row r="124" spans="1:3" x14ac:dyDescent="0.2">
      <c r="A124" s="507" t="s">
        <v>246</v>
      </c>
      <c r="B124" s="508"/>
      <c r="C124" s="509"/>
    </row>
    <row r="125" spans="1:3" s="60" customFormat="1" x14ac:dyDescent="0.2">
      <c r="A125" s="117" t="s">
        <v>251</v>
      </c>
      <c r="B125" s="114">
        <f>+B121</f>
        <v>0</v>
      </c>
      <c r="C125" s="52"/>
    </row>
    <row r="126" spans="1:3" x14ac:dyDescent="0.2">
      <c r="A126" s="6" t="s">
        <v>247</v>
      </c>
      <c r="B126" s="18">
        <f>+'Vigilante Xerem 12x36 Diu Arm '!$D$23</f>
        <v>0</v>
      </c>
      <c r="C126" s="52"/>
    </row>
    <row r="127" spans="1:3" x14ac:dyDescent="0.2">
      <c r="A127" s="6" t="s">
        <v>46</v>
      </c>
      <c r="B127" s="18">
        <f>+'Vigilante Xerem 12x36 Diu Arm '!$D$29</f>
        <v>0</v>
      </c>
      <c r="C127" s="52"/>
    </row>
    <row r="128" spans="1:3" x14ac:dyDescent="0.2">
      <c r="A128" s="111" t="s">
        <v>45</v>
      </c>
      <c r="B128" s="18">
        <f>+'Vigilante Xerem 12x36 Diu Arm '!$D$31</f>
        <v>0</v>
      </c>
      <c r="C128" s="52"/>
    </row>
    <row r="129" spans="1:3" x14ac:dyDescent="0.2">
      <c r="A129" s="111" t="s">
        <v>44</v>
      </c>
      <c r="B129" s="18">
        <f>+'Vigilante Xerem 12x36 Diu Arm '!$D$32</f>
        <v>0</v>
      </c>
      <c r="C129" s="52"/>
    </row>
    <row r="130" spans="1:3" x14ac:dyDescent="0.2">
      <c r="A130" s="104" t="s">
        <v>248</v>
      </c>
      <c r="B130" s="105">
        <f>SUM(B126:B129)</f>
        <v>0</v>
      </c>
      <c r="C130" s="52"/>
    </row>
    <row r="131" spans="1:3" x14ac:dyDescent="0.2">
      <c r="A131" s="25" t="s">
        <v>249</v>
      </c>
      <c r="B131" s="17">
        <v>0.4</v>
      </c>
      <c r="C131" s="52"/>
    </row>
    <row r="132" spans="1:3" x14ac:dyDescent="0.2">
      <c r="A132" s="25" t="s">
        <v>250</v>
      </c>
      <c r="B132" s="17">
        <f>+'Vigilante Xerem 12x36 Diu Arm '!$C$44</f>
        <v>0.08</v>
      </c>
      <c r="C132" s="52"/>
    </row>
    <row r="133" spans="1:3" x14ac:dyDescent="0.2">
      <c r="A133" s="510" t="s">
        <v>252</v>
      </c>
      <c r="B133" s="510"/>
      <c r="C133" s="73">
        <f>ROUND(+B130*B131*B132*B125,2)</f>
        <v>0</v>
      </c>
    </row>
    <row r="134" spans="1:3" x14ac:dyDescent="0.2">
      <c r="A134" s="25" t="s">
        <v>253</v>
      </c>
      <c r="B134" s="17">
        <v>0.1</v>
      </c>
      <c r="C134" s="52"/>
    </row>
    <row r="135" spans="1:3" x14ac:dyDescent="0.2">
      <c r="A135" s="510" t="s">
        <v>254</v>
      </c>
      <c r="B135" s="510"/>
      <c r="C135" s="112">
        <f>ROUND(B134*B132*B130*B125,2)</f>
        <v>0</v>
      </c>
    </row>
    <row r="136" spans="1:3" x14ac:dyDescent="0.2">
      <c r="A136" s="504" t="s">
        <v>255</v>
      </c>
      <c r="B136" s="505"/>
      <c r="C136" s="71">
        <f>+C135+C133</f>
        <v>0</v>
      </c>
    </row>
    <row r="138" spans="1:3" x14ac:dyDescent="0.2">
      <c r="A138" s="459" t="s">
        <v>256</v>
      </c>
      <c r="B138" s="459"/>
      <c r="C138" s="459"/>
    </row>
    <row r="139" spans="1:3" x14ac:dyDescent="0.2">
      <c r="A139" s="6" t="s">
        <v>242</v>
      </c>
      <c r="B139" s="18">
        <f>+B7</f>
        <v>0</v>
      </c>
      <c r="C139" s="52"/>
    </row>
    <row r="140" spans="1:3" x14ac:dyDescent="0.2">
      <c r="A140" s="6" t="s">
        <v>257</v>
      </c>
      <c r="B140" s="113">
        <v>30</v>
      </c>
      <c r="C140" s="52"/>
    </row>
    <row r="141" spans="1:3" x14ac:dyDescent="0.2">
      <c r="A141" s="6" t="s">
        <v>243</v>
      </c>
      <c r="B141" s="6">
        <v>12</v>
      </c>
      <c r="C141" s="52"/>
    </row>
    <row r="142" spans="1:3" x14ac:dyDescent="0.2">
      <c r="A142" s="6" t="s">
        <v>258</v>
      </c>
      <c r="B142" s="6">
        <v>7</v>
      </c>
      <c r="C142" s="52"/>
    </row>
    <row r="143" spans="1:3" x14ac:dyDescent="0.2">
      <c r="A143" s="116" t="s">
        <v>294</v>
      </c>
      <c r="B143" s="114"/>
      <c r="C143" s="52"/>
    </row>
    <row r="144" spans="1:3" x14ac:dyDescent="0.2">
      <c r="A144" s="494" t="s">
        <v>369</v>
      </c>
      <c r="B144" s="494"/>
      <c r="C144" s="45">
        <f>+ROUND(((B139/B140/B141)*B142)*B143,2)</f>
        <v>0</v>
      </c>
    </row>
    <row r="146" spans="1:3" x14ac:dyDescent="0.2">
      <c r="A146" s="507" t="s">
        <v>259</v>
      </c>
      <c r="B146" s="508"/>
      <c r="C146" s="509"/>
    </row>
    <row r="147" spans="1:3" x14ac:dyDescent="0.2">
      <c r="A147" s="115" t="s">
        <v>260</v>
      </c>
      <c r="B147" s="114">
        <f>+B143</f>
        <v>0</v>
      </c>
      <c r="C147" s="52"/>
    </row>
    <row r="148" spans="1:3" x14ac:dyDescent="0.2">
      <c r="A148" s="6" t="s">
        <v>247</v>
      </c>
      <c r="B148" s="18">
        <f>+'Vigilante Xerem 12x36 Diu Arm '!$D$23</f>
        <v>0</v>
      </c>
      <c r="C148" s="52"/>
    </row>
    <row r="149" spans="1:3" x14ac:dyDescent="0.2">
      <c r="A149" s="6" t="s">
        <v>46</v>
      </c>
      <c r="B149" s="18">
        <f>+'Vigilante Xerem 12x36 Diu Arm '!$D$29</f>
        <v>0</v>
      </c>
      <c r="C149" s="52"/>
    </row>
    <row r="150" spans="1:3" x14ac:dyDescent="0.2">
      <c r="A150" s="111" t="s">
        <v>45</v>
      </c>
      <c r="B150" s="18">
        <f>+'Vigilante Xerem 12x36 Diu Arm '!$D$31</f>
        <v>0</v>
      </c>
      <c r="C150" s="52"/>
    </row>
    <row r="151" spans="1:3" x14ac:dyDescent="0.2">
      <c r="A151" s="111" t="s">
        <v>44</v>
      </c>
      <c r="B151" s="18">
        <f>+'Vigilante Xerem 12x36 Diu Arm '!$D$32</f>
        <v>0</v>
      </c>
      <c r="C151" s="52"/>
    </row>
    <row r="152" spans="1:3" x14ac:dyDescent="0.2">
      <c r="A152" s="104" t="s">
        <v>248</v>
      </c>
      <c r="B152" s="105">
        <f>SUM(B148:B151)</f>
        <v>0</v>
      </c>
      <c r="C152" s="52"/>
    </row>
    <row r="153" spans="1:3" x14ac:dyDescent="0.2">
      <c r="A153" s="25" t="s">
        <v>249</v>
      </c>
      <c r="B153" s="17">
        <v>0.4</v>
      </c>
      <c r="C153" s="52"/>
    </row>
    <row r="154" spans="1:3" x14ac:dyDescent="0.2">
      <c r="A154" s="25" t="s">
        <v>250</v>
      </c>
      <c r="B154" s="17">
        <f>+'Vigilante Xerem 12x36 Diu Arm '!$C$44</f>
        <v>0.08</v>
      </c>
      <c r="C154" s="52"/>
    </row>
    <row r="155" spans="1:3" x14ac:dyDescent="0.2">
      <c r="A155" s="510" t="s">
        <v>252</v>
      </c>
      <c r="B155" s="510"/>
      <c r="C155" s="73">
        <f>ROUND(+B152*B153*B154*B147,2)</f>
        <v>0</v>
      </c>
    </row>
    <row r="156" spans="1:3" x14ac:dyDescent="0.2">
      <c r="A156" s="25" t="s">
        <v>253</v>
      </c>
      <c r="B156" s="17">
        <v>0.1</v>
      </c>
      <c r="C156" s="52"/>
    </row>
    <row r="157" spans="1:3" x14ac:dyDescent="0.2">
      <c r="A157" s="510" t="s">
        <v>254</v>
      </c>
      <c r="B157" s="510"/>
      <c r="C157" s="112">
        <f>ROUND(B156*B154*B152*B147,2)</f>
        <v>0</v>
      </c>
    </row>
    <row r="158" spans="1:3" x14ac:dyDescent="0.2">
      <c r="A158" s="504" t="s">
        <v>385</v>
      </c>
      <c r="B158" s="505"/>
      <c r="C158" s="71">
        <f>+C157+C155</f>
        <v>0</v>
      </c>
    </row>
    <row r="160" spans="1:3" x14ac:dyDescent="0.2">
      <c r="A160" s="507" t="s">
        <v>262</v>
      </c>
      <c r="B160" s="508"/>
      <c r="C160" s="509"/>
    </row>
    <row r="161" spans="1:3" x14ac:dyDescent="0.2">
      <c r="A161" s="511" t="s">
        <v>358</v>
      </c>
      <c r="B161" s="511"/>
      <c r="C161" s="511"/>
    </row>
    <row r="162" spans="1:3" x14ac:dyDescent="0.2">
      <c r="A162" s="511"/>
      <c r="B162" s="511"/>
      <c r="C162" s="511"/>
    </row>
    <row r="163" spans="1:3" x14ac:dyDescent="0.2">
      <c r="A163" s="511"/>
      <c r="B163" s="511"/>
      <c r="C163" s="511"/>
    </row>
    <row r="164" spans="1:3" x14ac:dyDescent="0.2">
      <c r="A164" s="511"/>
      <c r="B164" s="511"/>
      <c r="C164" s="511"/>
    </row>
    <row r="165" spans="1:3" x14ac:dyDescent="0.2">
      <c r="A165" s="119"/>
      <c r="B165" s="119"/>
      <c r="C165" s="119"/>
    </row>
    <row r="166" spans="1:3" x14ac:dyDescent="0.2">
      <c r="A166" s="512" t="s">
        <v>261</v>
      </c>
      <c r="B166" s="512"/>
      <c r="C166" s="512"/>
    </row>
    <row r="167" spans="1:3" x14ac:dyDescent="0.2">
      <c r="A167" s="6" t="s">
        <v>263</v>
      </c>
      <c r="B167" s="18">
        <f>+$B$7</f>
        <v>0</v>
      </c>
      <c r="C167" s="52"/>
    </row>
    <row r="168" spans="1:3" x14ac:dyDescent="0.2">
      <c r="A168" s="6" t="s">
        <v>206</v>
      </c>
      <c r="B168" s="6">
        <v>30</v>
      </c>
      <c r="C168" s="52"/>
    </row>
    <row r="169" spans="1:3" x14ac:dyDescent="0.2">
      <c r="A169" s="6" t="s">
        <v>264</v>
      </c>
      <c r="B169" s="6">
        <v>12</v>
      </c>
      <c r="C169" s="52"/>
    </row>
    <row r="170" spans="1:3" x14ac:dyDescent="0.2">
      <c r="A170" s="116" t="s">
        <v>265</v>
      </c>
      <c r="B170" s="116"/>
      <c r="C170" s="52"/>
    </row>
    <row r="171" spans="1:3" x14ac:dyDescent="0.2">
      <c r="A171" s="494" t="s">
        <v>266</v>
      </c>
      <c r="B171" s="494"/>
      <c r="C171" s="24">
        <f>+ROUND((B167/B168/B169)*B170,2)</f>
        <v>0</v>
      </c>
    </row>
    <row r="173" spans="1:3" x14ac:dyDescent="0.2">
      <c r="A173" s="512" t="s">
        <v>269</v>
      </c>
      <c r="B173" s="512"/>
      <c r="C173" s="512"/>
    </row>
    <row r="174" spans="1:3" x14ac:dyDescent="0.2">
      <c r="A174" s="6" t="s">
        <v>263</v>
      </c>
      <c r="B174" s="18">
        <f>+$B$7</f>
        <v>0</v>
      </c>
      <c r="C174" s="52"/>
    </row>
    <row r="175" spans="1:3" x14ac:dyDescent="0.2">
      <c r="A175" s="6" t="s">
        <v>206</v>
      </c>
      <c r="B175" s="6">
        <v>30</v>
      </c>
      <c r="C175" s="52"/>
    </row>
    <row r="176" spans="1:3" x14ac:dyDescent="0.2">
      <c r="A176" s="6" t="s">
        <v>264</v>
      </c>
      <c r="B176" s="6">
        <v>12</v>
      </c>
      <c r="C176" s="52"/>
    </row>
    <row r="177" spans="1:3" x14ac:dyDescent="0.2">
      <c r="A177" s="34" t="s">
        <v>267</v>
      </c>
      <c r="B177" s="6">
        <v>5</v>
      </c>
      <c r="C177" s="52"/>
    </row>
    <row r="178" spans="1:3" x14ac:dyDescent="0.2">
      <c r="A178" s="116" t="s">
        <v>268</v>
      </c>
      <c r="B178" s="114"/>
      <c r="C178" s="52"/>
    </row>
    <row r="179" spans="1:3" x14ac:dyDescent="0.2">
      <c r="A179" s="116" t="s">
        <v>270</v>
      </c>
      <c r="B179" s="114"/>
      <c r="C179" s="52"/>
    </row>
    <row r="180" spans="1:3" x14ac:dyDescent="0.2">
      <c r="A180" s="494" t="s">
        <v>271</v>
      </c>
      <c r="B180" s="494"/>
      <c r="C180" s="45">
        <f>ROUND(+B174/B175/B176*B177*B178*B179,2)</f>
        <v>0</v>
      </c>
    </row>
    <row r="182" spans="1:3" x14ac:dyDescent="0.2">
      <c r="A182" s="512" t="s">
        <v>272</v>
      </c>
      <c r="B182" s="512"/>
      <c r="C182" s="512"/>
    </row>
    <row r="183" spans="1:3" x14ac:dyDescent="0.2">
      <c r="A183" s="6" t="s">
        <v>263</v>
      </c>
      <c r="B183" s="18">
        <f>+$B$7</f>
        <v>0</v>
      </c>
      <c r="C183" s="52"/>
    </row>
    <row r="184" spans="1:3" x14ac:dyDescent="0.2">
      <c r="A184" s="6" t="s">
        <v>206</v>
      </c>
      <c r="B184" s="6">
        <v>30</v>
      </c>
      <c r="C184" s="52"/>
    </row>
    <row r="185" spans="1:3" x14ac:dyDescent="0.2">
      <c r="A185" s="6" t="s">
        <v>264</v>
      </c>
      <c r="B185" s="6">
        <v>12</v>
      </c>
      <c r="C185" s="52"/>
    </row>
    <row r="186" spans="1:3" x14ac:dyDescent="0.2">
      <c r="A186" s="34" t="s">
        <v>273</v>
      </c>
      <c r="B186" s="6">
        <v>15</v>
      </c>
      <c r="C186" s="52"/>
    </row>
    <row r="187" spans="1:3" x14ac:dyDescent="0.2">
      <c r="A187" s="116" t="s">
        <v>274</v>
      </c>
      <c r="B187" s="114"/>
      <c r="C187" s="52"/>
    </row>
    <row r="188" spans="1:3" x14ac:dyDescent="0.2">
      <c r="A188" s="494" t="s">
        <v>370</v>
      </c>
      <c r="B188" s="494"/>
      <c r="C188" s="45">
        <f>ROUND(+B183/B184/B185*B186*B187,2)</f>
        <v>0</v>
      </c>
    </row>
    <row r="190" spans="1:3" x14ac:dyDescent="0.2">
      <c r="A190" s="512" t="s">
        <v>275</v>
      </c>
      <c r="B190" s="512"/>
      <c r="C190" s="512"/>
    </row>
    <row r="191" spans="1:3" x14ac:dyDescent="0.2">
      <c r="A191" s="6" t="s">
        <v>263</v>
      </c>
      <c r="B191" s="18">
        <f>+$B$7</f>
        <v>0</v>
      </c>
      <c r="C191" s="52"/>
    </row>
    <row r="192" spans="1:3" x14ac:dyDescent="0.2">
      <c r="A192" s="6" t="s">
        <v>206</v>
      </c>
      <c r="B192" s="6">
        <v>30</v>
      </c>
      <c r="C192" s="52"/>
    </row>
    <row r="193" spans="1:3" x14ac:dyDescent="0.2">
      <c r="A193" s="6" t="s">
        <v>264</v>
      </c>
      <c r="B193" s="6">
        <v>12</v>
      </c>
      <c r="C193" s="52"/>
    </row>
    <row r="194" spans="1:3" x14ac:dyDescent="0.2">
      <c r="A194" s="34" t="s">
        <v>273</v>
      </c>
      <c r="B194" s="6">
        <v>5</v>
      </c>
      <c r="C194" s="52"/>
    </row>
    <row r="195" spans="1:3" x14ac:dyDescent="0.2">
      <c r="A195" s="116" t="s">
        <v>276</v>
      </c>
      <c r="B195" s="114"/>
      <c r="C195" s="52"/>
    </row>
    <row r="196" spans="1:3" x14ac:dyDescent="0.2">
      <c r="A196" s="494" t="s">
        <v>371</v>
      </c>
      <c r="B196" s="494"/>
      <c r="C196" s="45">
        <f>ROUND(+B191/B192/B193*B194*B195,2)</f>
        <v>0</v>
      </c>
    </row>
    <row r="198" spans="1:3" x14ac:dyDescent="0.2">
      <c r="A198" s="459" t="s">
        <v>108</v>
      </c>
      <c r="B198" s="459"/>
      <c r="C198" s="459"/>
    </row>
    <row r="199" spans="1:3" x14ac:dyDescent="0.2">
      <c r="A199" s="83" t="s">
        <v>23</v>
      </c>
      <c r="B199" s="87"/>
      <c r="C199" s="18">
        <f>+'Vigilante Xerem 12x36 Diu Arm '!D23-'Vigilante Xerem 12x36 Diu Arm '!D21</f>
        <v>0</v>
      </c>
    </row>
    <row r="200" spans="1:3" x14ac:dyDescent="0.2">
      <c r="A200" s="83" t="s">
        <v>68</v>
      </c>
      <c r="B200" s="87"/>
      <c r="C200" s="18">
        <f>+'Vigilante Xerem 12x36 Diu Arm '!D68</f>
        <v>0</v>
      </c>
    </row>
    <row r="201" spans="1:3" x14ac:dyDescent="0.2">
      <c r="A201" s="83" t="s">
        <v>153</v>
      </c>
      <c r="B201" s="87"/>
      <c r="C201" s="18">
        <f>+'Vigilante Xerem 12x36 Diu Arm '!D116</f>
        <v>0</v>
      </c>
    </row>
    <row r="202" spans="1:3" x14ac:dyDescent="0.2">
      <c r="A202" s="83" t="s">
        <v>86</v>
      </c>
      <c r="B202" s="87"/>
      <c r="C202" s="18">
        <f>+'Vigilante Xerem 12x36 Diu Arm '!D107</f>
        <v>0</v>
      </c>
    </row>
    <row r="203" spans="1:3" x14ac:dyDescent="0.2">
      <c r="A203" s="83" t="s">
        <v>92</v>
      </c>
      <c r="B203" s="87"/>
      <c r="C203" s="18">
        <f>+'Vigilante Xerem 12x36 Diu Arm '!D108</f>
        <v>0</v>
      </c>
    </row>
    <row r="204" spans="1:3" x14ac:dyDescent="0.2">
      <c r="A204" s="83" t="s">
        <v>70</v>
      </c>
      <c r="B204" s="87"/>
      <c r="C204" s="18">
        <f>+'Vigilante Xerem 12x36 Diu Arm '!D79</f>
        <v>0</v>
      </c>
    </row>
    <row r="205" spans="1:3" x14ac:dyDescent="0.2">
      <c r="A205" s="83" t="s">
        <v>193</v>
      </c>
      <c r="B205" s="87"/>
      <c r="C205" s="18">
        <f>SUM(C199:C204)</f>
        <v>0</v>
      </c>
    </row>
    <row r="206" spans="1:3" x14ac:dyDescent="0.2">
      <c r="A206" s="83" t="s">
        <v>102</v>
      </c>
      <c r="B206" s="84">
        <v>220</v>
      </c>
      <c r="C206" s="85"/>
    </row>
    <row r="207" spans="1:3" x14ac:dyDescent="0.2">
      <c r="A207" s="83" t="s">
        <v>103</v>
      </c>
      <c r="B207" s="87"/>
      <c r="C207" s="18">
        <f>ROUND(C205/B206,2)</f>
        <v>0</v>
      </c>
    </row>
    <row r="208" spans="1:3" x14ac:dyDescent="0.2">
      <c r="A208" s="6" t="s">
        <v>104</v>
      </c>
      <c r="B208" s="51">
        <f>(365.25/12/2)/(7/7)</f>
        <v>15.21875</v>
      </c>
      <c r="C208" s="58"/>
    </row>
    <row r="209" spans="1:3" x14ac:dyDescent="0.2">
      <c r="A209" s="504" t="s">
        <v>106</v>
      </c>
      <c r="B209" s="505"/>
      <c r="C209" s="71">
        <f>ROUND(+B208*C207,2)</f>
        <v>0</v>
      </c>
    </row>
    <row r="211" spans="1:3" x14ac:dyDescent="0.2">
      <c r="A211" s="512" t="s">
        <v>277</v>
      </c>
      <c r="B211" s="512"/>
      <c r="C211" s="512"/>
    </row>
    <row r="212" spans="1:3" x14ac:dyDescent="0.2">
      <c r="A212" s="513" t="s">
        <v>282</v>
      </c>
      <c r="B212" s="514"/>
      <c r="C212" s="515"/>
    </row>
    <row r="213" spans="1:3" x14ac:dyDescent="0.2">
      <c r="A213" s="6" t="s">
        <v>263</v>
      </c>
      <c r="B213" s="18">
        <f>+$B$7</f>
        <v>0</v>
      </c>
      <c r="C213" s="52"/>
    </row>
    <row r="214" spans="1:3" x14ac:dyDescent="0.2">
      <c r="A214" s="6" t="s">
        <v>281</v>
      </c>
      <c r="B214" s="18">
        <f>+B213*(1/3)</f>
        <v>0</v>
      </c>
      <c r="C214" s="52"/>
    </row>
    <row r="215" spans="1:3" x14ac:dyDescent="0.2">
      <c r="A215" s="104" t="s">
        <v>248</v>
      </c>
      <c r="B215" s="105">
        <f>SUM(B213:B214)</f>
        <v>0</v>
      </c>
      <c r="C215" s="52"/>
    </row>
    <row r="216" spans="1:3" x14ac:dyDescent="0.2">
      <c r="A216" s="6" t="s">
        <v>278</v>
      </c>
      <c r="B216" s="6">
        <v>4</v>
      </c>
      <c r="C216" s="52"/>
    </row>
    <row r="217" spans="1:3" x14ac:dyDescent="0.2">
      <c r="A217" s="6" t="s">
        <v>264</v>
      </c>
      <c r="B217" s="6">
        <v>12</v>
      </c>
      <c r="C217" s="52"/>
    </row>
    <row r="218" spans="1:3" x14ac:dyDescent="0.2">
      <c r="A218" s="116" t="s">
        <v>279</v>
      </c>
      <c r="B218" s="114"/>
      <c r="C218" s="52"/>
    </row>
    <row r="219" spans="1:3" x14ac:dyDescent="0.2">
      <c r="A219" s="116" t="s">
        <v>280</v>
      </c>
      <c r="B219" s="114"/>
      <c r="C219" s="52"/>
    </row>
    <row r="220" spans="1:3" x14ac:dyDescent="0.2">
      <c r="A220" s="494" t="s">
        <v>283</v>
      </c>
      <c r="B220" s="494"/>
      <c r="C220" s="45">
        <f>ROUND((((+B215*(B216/B217)/B217)*B218)*B219),2)</f>
        <v>0</v>
      </c>
    </row>
    <row r="221" spans="1:3" x14ac:dyDescent="0.2">
      <c r="A221" s="494" t="s">
        <v>284</v>
      </c>
      <c r="B221" s="494"/>
      <c r="C221" s="494"/>
    </row>
    <row r="222" spans="1:3" x14ac:dyDescent="0.2">
      <c r="A222" s="6" t="s">
        <v>263</v>
      </c>
      <c r="B222" s="18">
        <f>+'Vigilante Xerem 12x36 Diu Arm '!D23</f>
        <v>0</v>
      </c>
      <c r="C222" s="52"/>
    </row>
    <row r="223" spans="1:3" x14ac:dyDescent="0.2">
      <c r="A223" s="6" t="s">
        <v>46</v>
      </c>
      <c r="B223" s="18">
        <f>+'Vigilante Xerem 12x36 Diu Arm '!D29</f>
        <v>0</v>
      </c>
      <c r="C223" s="52"/>
    </row>
    <row r="224" spans="1:3" x14ac:dyDescent="0.2">
      <c r="A224" s="104" t="s">
        <v>248</v>
      </c>
      <c r="B224" s="105">
        <f>SUM(B222:B223)</f>
        <v>0</v>
      </c>
      <c r="C224" s="52"/>
    </row>
    <row r="225" spans="1:3" x14ac:dyDescent="0.2">
      <c r="A225" s="6" t="s">
        <v>278</v>
      </c>
      <c r="B225" s="6">
        <v>4</v>
      </c>
      <c r="C225" s="52"/>
    </row>
    <row r="226" spans="1:3" x14ac:dyDescent="0.2">
      <c r="A226" s="6" t="s">
        <v>264</v>
      </c>
      <c r="B226" s="6">
        <v>12</v>
      </c>
      <c r="C226" s="52"/>
    </row>
    <row r="227" spans="1:3" x14ac:dyDescent="0.2">
      <c r="A227" s="116" t="s">
        <v>279</v>
      </c>
      <c r="B227" s="114"/>
      <c r="C227" s="52"/>
    </row>
    <row r="228" spans="1:3" x14ac:dyDescent="0.2">
      <c r="A228" s="116" t="s">
        <v>280</v>
      </c>
      <c r="B228" s="114"/>
      <c r="C228" s="52"/>
    </row>
    <row r="229" spans="1:3" x14ac:dyDescent="0.2">
      <c r="A229" s="34" t="s">
        <v>285</v>
      </c>
      <c r="B229" s="17">
        <f>+'Vigilante Xerem 12x36 Diu Arm '!C45</f>
        <v>0.36800000000000005</v>
      </c>
      <c r="C229" s="52"/>
    </row>
    <row r="230" spans="1:3" x14ac:dyDescent="0.2">
      <c r="A230" s="494" t="s">
        <v>286</v>
      </c>
      <c r="B230" s="494"/>
      <c r="C230" s="71">
        <f>ROUND((((B224*(B225/B226)*B227)*B228)*B229),2)</f>
        <v>0</v>
      </c>
    </row>
  </sheetData>
  <mergeCells count="44">
    <mergeCell ref="A100:C100"/>
    <mergeCell ref="A1:C1"/>
    <mergeCell ref="A9:C9"/>
    <mergeCell ref="A25:B25"/>
    <mergeCell ref="A27:C27"/>
    <mergeCell ref="A38:C38"/>
    <mergeCell ref="A51:B51"/>
    <mergeCell ref="A53:C53"/>
    <mergeCell ref="A66:B66"/>
    <mergeCell ref="A68:C68"/>
    <mergeCell ref="A79:C79"/>
    <mergeCell ref="A98:B98"/>
    <mergeCell ref="A146:C146"/>
    <mergeCell ref="A107:B107"/>
    <mergeCell ref="A109:C109"/>
    <mergeCell ref="A116:B116"/>
    <mergeCell ref="A118:C118"/>
    <mergeCell ref="A122:B122"/>
    <mergeCell ref="A124:C124"/>
    <mergeCell ref="A133:B133"/>
    <mergeCell ref="A135:B135"/>
    <mergeCell ref="A136:B136"/>
    <mergeCell ref="A138:C138"/>
    <mergeCell ref="A144:B144"/>
    <mergeCell ref="A190:C190"/>
    <mergeCell ref="A155:B155"/>
    <mergeCell ref="A157:B157"/>
    <mergeCell ref="A158:B158"/>
    <mergeCell ref="A160:C160"/>
    <mergeCell ref="A161:C164"/>
    <mergeCell ref="A166:C166"/>
    <mergeCell ref="A171:B171"/>
    <mergeCell ref="A173:C173"/>
    <mergeCell ref="A180:B180"/>
    <mergeCell ref="A182:C182"/>
    <mergeCell ref="A188:B188"/>
    <mergeCell ref="A221:C221"/>
    <mergeCell ref="A230:B230"/>
    <mergeCell ref="A196:B196"/>
    <mergeCell ref="A198:C198"/>
    <mergeCell ref="A209:B209"/>
    <mergeCell ref="A211:C211"/>
    <mergeCell ref="A212:C212"/>
    <mergeCell ref="A220:B220"/>
  </mergeCells>
  <pageMargins left="1.0629921259842521" right="0.11811023622047245" top="0.15748031496062992" bottom="0.35433070866141736" header="0.15748031496062992" footer="0.15748031496062992"/>
  <pageSetup paperSize="9" scale="85" orientation="portrait" r:id="rId1"/>
  <headerFooter>
    <oddFooter>&amp;A</oddFooter>
  </headerFooter>
  <rowBreaks count="1" manualBreakCount="1">
    <brk id="197" max="16383" man="1"/>
  </rowBreak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>
    <tabColor rgb="FFFF33CC"/>
  </sheetPr>
  <dimension ref="A1:F184"/>
  <sheetViews>
    <sheetView workbookViewId="0">
      <selection activeCell="D97" sqref="D97:D98"/>
    </sheetView>
  </sheetViews>
  <sheetFormatPr defaultRowHeight="12.75" x14ac:dyDescent="0.2"/>
  <cols>
    <col min="1" max="1" width="5.625" customWidth="1"/>
    <col min="2" max="2" width="50.5" customWidth="1"/>
    <col min="3" max="3" width="9.375" bestFit="1" customWidth="1"/>
    <col min="4" max="4" width="15.625" customWidth="1"/>
    <col min="5" max="5" width="11.75" bestFit="1" customWidth="1"/>
  </cols>
  <sheetData>
    <row r="1" spans="1:6" x14ac:dyDescent="0.2">
      <c r="A1" s="477" t="s">
        <v>211</v>
      </c>
      <c r="B1" s="478"/>
      <c r="C1" s="478"/>
      <c r="D1" s="479"/>
      <c r="E1" s="3"/>
      <c r="F1" s="3"/>
    </row>
    <row r="3" spans="1:6" x14ac:dyDescent="0.2">
      <c r="A3" s="460" t="s">
        <v>16</v>
      </c>
      <c r="B3" s="461"/>
      <c r="C3" s="461"/>
      <c r="D3" s="462"/>
    </row>
    <row r="4" spans="1:6" s="1" customFormat="1" ht="24.75" customHeight="1" x14ac:dyDescent="0.2">
      <c r="A4" s="304">
        <v>1</v>
      </c>
      <c r="B4" s="305" t="s">
        <v>17</v>
      </c>
      <c r="C4" s="582" t="s">
        <v>353</v>
      </c>
      <c r="D4" s="583"/>
    </row>
    <row r="5" spans="1:6" s="1" customFormat="1" x14ac:dyDescent="0.2">
      <c r="A5" s="304">
        <v>2</v>
      </c>
      <c r="B5" s="305" t="s">
        <v>18</v>
      </c>
      <c r="C5" s="584" t="s">
        <v>295</v>
      </c>
      <c r="D5" s="585"/>
    </row>
    <row r="6" spans="1:6" s="1" customFormat="1" x14ac:dyDescent="0.2">
      <c r="A6" s="304">
        <v>3</v>
      </c>
      <c r="B6" s="305" t="s">
        <v>19</v>
      </c>
      <c r="C6" s="484"/>
      <c r="D6" s="484"/>
    </row>
    <row r="7" spans="1:6" s="1" customFormat="1" ht="42.75" customHeight="1" x14ac:dyDescent="0.2">
      <c r="A7" s="304">
        <v>4</v>
      </c>
      <c r="B7" s="305" t="s">
        <v>21</v>
      </c>
      <c r="C7" s="586" t="s">
        <v>296</v>
      </c>
      <c r="D7" s="587"/>
    </row>
    <row r="8" spans="1:6" s="1" customFormat="1" x14ac:dyDescent="0.2">
      <c r="A8" s="304">
        <v>5</v>
      </c>
      <c r="B8" s="305" t="s">
        <v>20</v>
      </c>
      <c r="C8" s="588">
        <v>43160</v>
      </c>
      <c r="D8" s="589"/>
    </row>
    <row r="9" spans="1:6" x14ac:dyDescent="0.2">
      <c r="D9" s="202"/>
    </row>
    <row r="10" spans="1:6" x14ac:dyDescent="0.2">
      <c r="A10" s="455" t="s">
        <v>22</v>
      </c>
      <c r="B10" s="455"/>
      <c r="C10" s="455"/>
      <c r="D10" s="455"/>
    </row>
    <row r="11" spans="1:6" x14ac:dyDescent="0.2">
      <c r="A11" s="132" t="s">
        <v>297</v>
      </c>
      <c r="B11" s="94" t="s">
        <v>23</v>
      </c>
      <c r="C11" s="248" t="s">
        <v>50</v>
      </c>
      <c r="D11" s="5" t="s">
        <v>24</v>
      </c>
    </row>
    <row r="12" spans="1:6" x14ac:dyDescent="0.2">
      <c r="A12" s="247" t="s">
        <v>3</v>
      </c>
      <c r="B12" s="388" t="s">
        <v>30</v>
      </c>
      <c r="C12" s="388"/>
      <c r="D12" s="7">
        <f>+C6</f>
        <v>0</v>
      </c>
    </row>
    <row r="13" spans="1:6" x14ac:dyDescent="0.2">
      <c r="A13" s="247" t="s">
        <v>4</v>
      </c>
      <c r="B13" s="89" t="s">
        <v>31</v>
      </c>
      <c r="C13" s="95">
        <v>0.3</v>
      </c>
      <c r="D13" s="7">
        <f>+C13*D12</f>
        <v>0</v>
      </c>
      <c r="E13" s="88"/>
    </row>
    <row r="14" spans="1:6" x14ac:dyDescent="0.2">
      <c r="A14" s="247" t="s">
        <v>5</v>
      </c>
      <c r="B14" s="89" t="s">
        <v>32</v>
      </c>
      <c r="C14" s="95"/>
      <c r="D14" s="7"/>
    </row>
    <row r="15" spans="1:6" x14ac:dyDescent="0.2">
      <c r="A15" s="247" t="s">
        <v>6</v>
      </c>
      <c r="B15" s="388" t="s">
        <v>33</v>
      </c>
      <c r="C15" s="388"/>
      <c r="D15" s="7">
        <f>+'Calculo Xerem 12x36 not'!C66</f>
        <v>0</v>
      </c>
    </row>
    <row r="16" spans="1:6" x14ac:dyDescent="0.2">
      <c r="A16" s="247" t="s">
        <v>25</v>
      </c>
      <c r="B16" s="388" t="s">
        <v>34</v>
      </c>
      <c r="C16" s="388"/>
      <c r="D16" s="7">
        <f>+'Calculo Xerem 12x36 not'!C98</f>
        <v>0</v>
      </c>
    </row>
    <row r="17" spans="1:6" x14ac:dyDescent="0.2">
      <c r="A17" s="247" t="s">
        <v>26</v>
      </c>
      <c r="B17" s="468" t="s">
        <v>231</v>
      </c>
      <c r="C17" s="469"/>
      <c r="D17" s="7"/>
    </row>
    <row r="18" spans="1:6" x14ac:dyDescent="0.2">
      <c r="A18" s="247" t="s">
        <v>27</v>
      </c>
      <c r="B18" s="388" t="s">
        <v>35</v>
      </c>
      <c r="C18" s="388"/>
      <c r="D18" s="7"/>
    </row>
    <row r="19" spans="1:6" x14ac:dyDescent="0.2">
      <c r="A19" s="247" t="s">
        <v>28</v>
      </c>
      <c r="B19" s="468" t="s">
        <v>195</v>
      </c>
      <c r="C19" s="469"/>
      <c r="D19" s="93"/>
    </row>
    <row r="20" spans="1:6" x14ac:dyDescent="0.2">
      <c r="A20" s="247" t="s">
        <v>64</v>
      </c>
      <c r="B20" s="89" t="s">
        <v>65</v>
      </c>
      <c r="C20" s="95"/>
      <c r="D20" s="7"/>
    </row>
    <row r="21" spans="1:6" x14ac:dyDescent="0.2">
      <c r="A21" s="247" t="s">
        <v>194</v>
      </c>
      <c r="B21" s="388" t="s">
        <v>95</v>
      </c>
      <c r="C21" s="388"/>
      <c r="D21" s="8"/>
      <c r="F21" s="98"/>
    </row>
    <row r="22" spans="1:6" x14ac:dyDescent="0.2">
      <c r="A22" s="247" t="s">
        <v>196</v>
      </c>
      <c r="B22" s="388" t="s">
        <v>36</v>
      </c>
      <c r="C22" s="388"/>
      <c r="D22" s="8"/>
    </row>
    <row r="23" spans="1:6" x14ac:dyDescent="0.2">
      <c r="A23" s="474" t="s">
        <v>29</v>
      </c>
      <c r="B23" s="474"/>
      <c r="C23" s="474"/>
      <c r="D23" s="9">
        <f>SUM(D12:D22)</f>
        <v>0</v>
      </c>
    </row>
    <row r="25" spans="1:6" x14ac:dyDescent="0.2">
      <c r="A25" s="455" t="s">
        <v>37</v>
      </c>
      <c r="B25" s="455"/>
      <c r="C25" s="455"/>
      <c r="D25" s="455"/>
    </row>
    <row r="27" spans="1:6" x14ac:dyDescent="0.2">
      <c r="A27" s="460" t="s">
        <v>38</v>
      </c>
      <c r="B27" s="461"/>
      <c r="C27" s="461"/>
      <c r="D27" s="461"/>
    </row>
    <row r="28" spans="1:6" x14ac:dyDescent="0.2">
      <c r="A28" s="19" t="s">
        <v>39</v>
      </c>
      <c r="B28" s="14" t="s">
        <v>40</v>
      </c>
      <c r="C28" s="22" t="s">
        <v>50</v>
      </c>
      <c r="D28" s="20" t="s">
        <v>24</v>
      </c>
    </row>
    <row r="29" spans="1:6" x14ac:dyDescent="0.2">
      <c r="A29" s="247" t="s">
        <v>3</v>
      </c>
      <c r="B29" s="6" t="s">
        <v>46</v>
      </c>
      <c r="C29" s="29" t="e">
        <f>ROUND(+D29/$D$23,4)</f>
        <v>#DIV/0!</v>
      </c>
      <c r="D29" s="8">
        <f>ROUND(+D23/12,2)</f>
        <v>0</v>
      </c>
    </row>
    <row r="30" spans="1:6" x14ac:dyDescent="0.2">
      <c r="A30" s="28" t="s">
        <v>4</v>
      </c>
      <c r="B30" s="37" t="s">
        <v>43</v>
      </c>
      <c r="C30" s="38" t="e">
        <f>ROUND(+D30/$D$23,4)</f>
        <v>#DIV/0!</v>
      </c>
      <c r="D30" s="39">
        <f>+D31+D32</f>
        <v>0</v>
      </c>
    </row>
    <row r="31" spans="1:6" x14ac:dyDescent="0.2">
      <c r="A31" s="247" t="s">
        <v>41</v>
      </c>
      <c r="B31" s="35" t="s">
        <v>45</v>
      </c>
      <c r="C31" s="40" t="e">
        <f>ROUND(+D31/$D$23,4)</f>
        <v>#DIV/0!</v>
      </c>
      <c r="D31" s="36">
        <f>ROUND(+D23/12,2)</f>
        <v>0</v>
      </c>
    </row>
    <row r="32" spans="1:6" x14ac:dyDescent="0.2">
      <c r="A32" s="247" t="s">
        <v>42</v>
      </c>
      <c r="B32" s="35" t="s">
        <v>44</v>
      </c>
      <c r="C32" s="40" t="e">
        <f>ROUND(+D32/$D$23,4)</f>
        <v>#DIV/0!</v>
      </c>
      <c r="D32" s="36">
        <f>ROUND(+(D23*1/3)/12,2)</f>
        <v>0</v>
      </c>
    </row>
    <row r="33" spans="1:4" x14ac:dyDescent="0.2">
      <c r="A33" s="474" t="s">
        <v>29</v>
      </c>
      <c r="B33" s="474"/>
      <c r="C33" s="474"/>
      <c r="D33" s="9">
        <f>+D30+D29</f>
        <v>0</v>
      </c>
    </row>
    <row r="35" spans="1:4" x14ac:dyDescent="0.2">
      <c r="A35" s="467" t="s">
        <v>47</v>
      </c>
      <c r="B35" s="467"/>
      <c r="C35" s="467"/>
      <c r="D35" s="467"/>
    </row>
    <row r="36" spans="1:4" x14ac:dyDescent="0.2">
      <c r="A36" s="19" t="s">
        <v>48</v>
      </c>
      <c r="B36" s="21" t="s">
        <v>49</v>
      </c>
      <c r="C36" s="22" t="s">
        <v>50</v>
      </c>
      <c r="D36" s="20" t="s">
        <v>24</v>
      </c>
    </row>
    <row r="37" spans="1:4" x14ac:dyDescent="0.2">
      <c r="A37" s="247" t="s">
        <v>3</v>
      </c>
      <c r="B37" s="6" t="s">
        <v>51</v>
      </c>
      <c r="C37" s="17">
        <v>0.2</v>
      </c>
      <c r="D37" s="18">
        <f>ROUND(C37*($D$23+$D$33),2)</f>
        <v>0</v>
      </c>
    </row>
    <row r="38" spans="1:4" x14ac:dyDescent="0.2">
      <c r="A38" s="247" t="s">
        <v>4</v>
      </c>
      <c r="B38" s="6" t="s">
        <v>52</v>
      </c>
      <c r="C38" s="17">
        <v>2.5000000000000001E-2</v>
      </c>
      <c r="D38" s="18">
        <f t="shared" ref="D38:D43" si="0">ROUND(C38*($D$23+$D$33),2)</f>
        <v>0</v>
      </c>
    </row>
    <row r="39" spans="1:4" x14ac:dyDescent="0.2">
      <c r="A39" s="247" t="s">
        <v>5</v>
      </c>
      <c r="B39" s="6" t="s">
        <v>58</v>
      </c>
      <c r="C39" s="17">
        <f>3%</f>
        <v>0.03</v>
      </c>
      <c r="D39" s="18">
        <f t="shared" si="0"/>
        <v>0</v>
      </c>
    </row>
    <row r="40" spans="1:4" x14ac:dyDescent="0.2">
      <c r="A40" s="247" t="s">
        <v>6</v>
      </c>
      <c r="B40" s="6" t="s">
        <v>53</v>
      </c>
      <c r="C40" s="17">
        <v>1.4999999999999999E-2</v>
      </c>
      <c r="D40" s="18">
        <f t="shared" si="0"/>
        <v>0</v>
      </c>
    </row>
    <row r="41" spans="1:4" x14ac:dyDescent="0.2">
      <c r="A41" s="247" t="s">
        <v>25</v>
      </c>
      <c r="B41" s="6" t="s">
        <v>54</v>
      </c>
      <c r="C41" s="17">
        <v>0.01</v>
      </c>
      <c r="D41" s="18">
        <f t="shared" si="0"/>
        <v>0</v>
      </c>
    </row>
    <row r="42" spans="1:4" x14ac:dyDescent="0.2">
      <c r="A42" s="247" t="s">
        <v>26</v>
      </c>
      <c r="B42" s="6" t="s">
        <v>55</v>
      </c>
      <c r="C42" s="17">
        <v>6.0000000000000001E-3</v>
      </c>
      <c r="D42" s="18">
        <f t="shared" si="0"/>
        <v>0</v>
      </c>
    </row>
    <row r="43" spans="1:4" x14ac:dyDescent="0.2">
      <c r="A43" s="247" t="s">
        <v>27</v>
      </c>
      <c r="B43" s="6" t="s">
        <v>56</v>
      </c>
      <c r="C43" s="17">
        <v>2E-3</v>
      </c>
      <c r="D43" s="18">
        <f t="shared" si="0"/>
        <v>0</v>
      </c>
    </row>
    <row r="44" spans="1:4" x14ac:dyDescent="0.2">
      <c r="A44" s="247" t="s">
        <v>28</v>
      </c>
      <c r="B44" s="6" t="s">
        <v>57</v>
      </c>
      <c r="C44" s="17">
        <v>0.08</v>
      </c>
      <c r="D44" s="18">
        <f>ROUND(C44*($D$23+$D$33),2)</f>
        <v>0</v>
      </c>
    </row>
    <row r="45" spans="1:4" x14ac:dyDescent="0.2">
      <c r="A45" s="249" t="s">
        <v>29</v>
      </c>
      <c r="B45" s="250"/>
      <c r="C45" s="41">
        <f>SUM(C37:C44)</f>
        <v>0.36800000000000005</v>
      </c>
      <c r="D45" s="42">
        <f>SUM(D37:D44)</f>
        <v>0</v>
      </c>
    </row>
    <row r="46" spans="1:4" x14ac:dyDescent="0.2">
      <c r="A46" s="43"/>
      <c r="B46" s="43"/>
      <c r="C46" s="43"/>
      <c r="D46" s="43"/>
    </row>
    <row r="47" spans="1:4" ht="12.75" customHeight="1" x14ac:dyDescent="0.2">
      <c r="A47" s="467" t="s">
        <v>59</v>
      </c>
      <c r="B47" s="467"/>
      <c r="C47" s="467"/>
      <c r="D47" s="467"/>
    </row>
    <row r="48" spans="1:4" x14ac:dyDescent="0.2">
      <c r="A48" s="19" t="s">
        <v>60</v>
      </c>
      <c r="B48" s="21" t="s">
        <v>61</v>
      </c>
      <c r="C48" s="22"/>
      <c r="D48" s="20" t="s">
        <v>24</v>
      </c>
    </row>
    <row r="49" spans="1:6" x14ac:dyDescent="0.2">
      <c r="A49" s="107" t="s">
        <v>3</v>
      </c>
      <c r="B49" s="6" t="s">
        <v>62</v>
      </c>
      <c r="C49" s="54"/>
      <c r="D49" s="18">
        <f>+'Calculo Xerem 12x36 not'!C107</f>
        <v>0</v>
      </c>
    </row>
    <row r="50" spans="1:6" s="60" customFormat="1" x14ac:dyDescent="0.2">
      <c r="A50" s="75" t="s">
        <v>177</v>
      </c>
      <c r="B50" s="34" t="s">
        <v>178</v>
      </c>
      <c r="C50" s="29">
        <f>+$C$135+$C$136</f>
        <v>3.6499999999999998E-2</v>
      </c>
      <c r="D50" s="77">
        <f>+(C50*D49)*-1</f>
        <v>0</v>
      </c>
      <c r="F50" s="76"/>
    </row>
    <row r="51" spans="1:6" x14ac:dyDescent="0.2">
      <c r="A51" s="107" t="s">
        <v>4</v>
      </c>
      <c r="B51" s="6" t="s">
        <v>63</v>
      </c>
      <c r="C51" s="54"/>
      <c r="D51" s="18">
        <f>+'Calculo Xerem 12x36 not'!C116</f>
        <v>0</v>
      </c>
      <c r="F51" s="61"/>
    </row>
    <row r="52" spans="1:6" s="60" customFormat="1" x14ac:dyDescent="0.2">
      <c r="A52" s="75" t="s">
        <v>41</v>
      </c>
      <c r="B52" s="34" t="s">
        <v>178</v>
      </c>
      <c r="C52" s="29">
        <f>+$C$135+$C$136</f>
        <v>3.6499999999999998E-2</v>
      </c>
      <c r="D52" s="77">
        <f>+(C52*D51)*-1</f>
        <v>0</v>
      </c>
      <c r="F52" s="78"/>
    </row>
    <row r="53" spans="1:6" x14ac:dyDescent="0.2">
      <c r="A53" s="6" t="s">
        <v>5</v>
      </c>
      <c r="B53" s="6" t="s">
        <v>66</v>
      </c>
      <c r="C53" s="54"/>
      <c r="D53" s="18"/>
      <c r="F53" s="61"/>
    </row>
    <row r="54" spans="1:6" x14ac:dyDescent="0.2">
      <c r="A54" s="75" t="s">
        <v>161</v>
      </c>
      <c r="B54" s="34" t="s">
        <v>178</v>
      </c>
      <c r="C54" s="29">
        <f>+$C$135+$C$136</f>
        <v>3.6499999999999998E-2</v>
      </c>
      <c r="D54" s="77">
        <f>+(C54*D53)*-1</f>
        <v>0</v>
      </c>
      <c r="F54" s="61"/>
    </row>
    <row r="55" spans="1:6" x14ac:dyDescent="0.2">
      <c r="A55" s="116" t="s">
        <v>6</v>
      </c>
      <c r="B55" s="116" t="s">
        <v>426</v>
      </c>
      <c r="C55" s="54"/>
      <c r="D55" s="377"/>
      <c r="F55" s="61"/>
    </row>
    <row r="56" spans="1:6" x14ac:dyDescent="0.2">
      <c r="A56" s="75" t="s">
        <v>179</v>
      </c>
      <c r="B56" s="34" t="s">
        <v>178</v>
      </c>
      <c r="C56" s="29">
        <f>+$C$135+$C$136</f>
        <v>3.6499999999999998E-2</v>
      </c>
      <c r="D56" s="77">
        <f>+(C56*D55)*-1</f>
        <v>0</v>
      </c>
      <c r="F56" s="61"/>
    </row>
    <row r="57" spans="1:6" x14ac:dyDescent="0.2">
      <c r="A57" s="116" t="s">
        <v>25</v>
      </c>
      <c r="B57" s="116" t="s">
        <v>427</v>
      </c>
      <c r="C57" s="54"/>
      <c r="D57" s="378"/>
      <c r="F57" s="129"/>
    </row>
    <row r="58" spans="1:6" x14ac:dyDescent="0.2">
      <c r="A58" s="75" t="s">
        <v>180</v>
      </c>
      <c r="B58" s="34" t="s">
        <v>178</v>
      </c>
      <c r="C58" s="29">
        <f>+$C$135+$C$136</f>
        <v>3.6499999999999998E-2</v>
      </c>
      <c r="D58" s="77">
        <f>+(C58*D57)*-1</f>
        <v>0</v>
      </c>
    </row>
    <row r="59" spans="1:6" x14ac:dyDescent="0.2">
      <c r="A59" s="116" t="s">
        <v>26</v>
      </c>
      <c r="B59" s="454" t="s">
        <v>293</v>
      </c>
      <c r="C59" s="454"/>
      <c r="D59" s="377"/>
    </row>
    <row r="60" spans="1:6" x14ac:dyDescent="0.2">
      <c r="A60" s="75" t="s">
        <v>81</v>
      </c>
      <c r="B60" s="34" t="s">
        <v>178</v>
      </c>
      <c r="C60" s="29">
        <f>+$C$135+$C$136</f>
        <v>3.6499999999999998E-2</v>
      </c>
      <c r="D60" s="77">
        <f>+(C60*D59)*-1</f>
        <v>0</v>
      </c>
    </row>
    <row r="61" spans="1:6" x14ac:dyDescent="0.2">
      <c r="A61" s="463" t="s">
        <v>29</v>
      </c>
      <c r="B61" s="465"/>
      <c r="C61" s="16"/>
      <c r="D61" s="130">
        <f>SUM(D49:D60)</f>
        <v>0</v>
      </c>
    </row>
    <row r="63" spans="1:6" x14ac:dyDescent="0.2">
      <c r="A63" s="455" t="s">
        <v>67</v>
      </c>
      <c r="B63" s="455"/>
      <c r="C63" s="455"/>
      <c r="D63" s="455"/>
    </row>
    <row r="64" spans="1:6" x14ac:dyDescent="0.2">
      <c r="A64" s="24">
        <v>2</v>
      </c>
      <c r="B64" s="455" t="s">
        <v>68</v>
      </c>
      <c r="C64" s="455"/>
      <c r="D64" s="253" t="s">
        <v>24</v>
      </c>
    </row>
    <row r="65" spans="1:4" x14ac:dyDescent="0.2">
      <c r="A65" s="25" t="s">
        <v>39</v>
      </c>
      <c r="B65" s="466" t="s">
        <v>40</v>
      </c>
      <c r="C65" s="466"/>
      <c r="D65" s="18">
        <f>+D33</f>
        <v>0</v>
      </c>
    </row>
    <row r="66" spans="1:4" x14ac:dyDescent="0.2">
      <c r="A66" s="25" t="s">
        <v>48</v>
      </c>
      <c r="B66" s="466" t="s">
        <v>49</v>
      </c>
      <c r="C66" s="466"/>
      <c r="D66" s="18">
        <f>+D45</f>
        <v>0</v>
      </c>
    </row>
    <row r="67" spans="1:4" x14ac:dyDescent="0.2">
      <c r="A67" s="25" t="s">
        <v>60</v>
      </c>
      <c r="B67" s="466" t="s">
        <v>61</v>
      </c>
      <c r="C67" s="466"/>
      <c r="D67" s="68">
        <f>+D61</f>
        <v>0</v>
      </c>
    </row>
    <row r="68" spans="1:4" x14ac:dyDescent="0.2">
      <c r="A68" s="455" t="s">
        <v>29</v>
      </c>
      <c r="B68" s="455"/>
      <c r="C68" s="455"/>
      <c r="D68" s="26">
        <f>SUM(D65:D67)</f>
        <v>0</v>
      </c>
    </row>
    <row r="70" spans="1:4" x14ac:dyDescent="0.2">
      <c r="A70" s="455" t="s">
        <v>69</v>
      </c>
      <c r="B70" s="455"/>
      <c r="C70" s="455"/>
      <c r="D70" s="455"/>
    </row>
    <row r="72" spans="1:4" x14ac:dyDescent="0.2">
      <c r="A72" s="13">
        <v>3</v>
      </c>
      <c r="B72" s="14" t="s">
        <v>70</v>
      </c>
      <c r="C72" s="248" t="s">
        <v>50</v>
      </c>
      <c r="D72" s="248" t="s">
        <v>24</v>
      </c>
    </row>
    <row r="73" spans="1:4" x14ac:dyDescent="0.2">
      <c r="A73" s="247" t="s">
        <v>3</v>
      </c>
      <c r="B73" s="34" t="s">
        <v>72</v>
      </c>
      <c r="C73" s="29" t="e">
        <f>+D73/$D$23</f>
        <v>#DIV/0!</v>
      </c>
      <c r="D73" s="118">
        <f>+'Calculo Xerem 12x36 not'!C122</f>
        <v>0</v>
      </c>
    </row>
    <row r="74" spans="1:4" x14ac:dyDescent="0.2">
      <c r="A74" s="247" t="s">
        <v>4</v>
      </c>
      <c r="B74" s="6" t="s">
        <v>73</v>
      </c>
      <c r="C74" s="52"/>
      <c r="D74" s="8">
        <f>ROUND(+D73*$C$44,2)</f>
        <v>0</v>
      </c>
    </row>
    <row r="75" spans="1:4" ht="25.5" x14ac:dyDescent="0.2">
      <c r="A75" s="247" t="s">
        <v>5</v>
      </c>
      <c r="B75" s="30" t="s">
        <v>75</v>
      </c>
      <c r="C75" s="17" t="e">
        <f>+D75/$D$23</f>
        <v>#DIV/0!</v>
      </c>
      <c r="D75" s="8">
        <f>+'Calculo Xerem 12x36 not'!C136</f>
        <v>0</v>
      </c>
    </row>
    <row r="76" spans="1:4" x14ac:dyDescent="0.2">
      <c r="A76" s="108" t="s">
        <v>6</v>
      </c>
      <c r="B76" s="6" t="s">
        <v>71</v>
      </c>
      <c r="C76" s="17" t="e">
        <f>+D76/$D$23</f>
        <v>#DIV/0!</v>
      </c>
      <c r="D76" s="8">
        <f>+'Calculo Xerem 12x36 not'!C144</f>
        <v>0</v>
      </c>
    </row>
    <row r="77" spans="1:4" ht="25.5" x14ac:dyDescent="0.2">
      <c r="A77" s="108" t="s">
        <v>25</v>
      </c>
      <c r="B77" s="30" t="s">
        <v>74</v>
      </c>
      <c r="C77" s="52"/>
      <c r="D77" s="384"/>
    </row>
    <row r="78" spans="1:4" ht="25.5" x14ac:dyDescent="0.2">
      <c r="A78" s="108" t="s">
        <v>26</v>
      </c>
      <c r="B78" s="30" t="s">
        <v>76</v>
      </c>
      <c r="C78" s="17" t="e">
        <f>+D78/$D$23</f>
        <v>#DIV/0!</v>
      </c>
      <c r="D78" s="18">
        <f>+'Calculo Xerem 12x36 not'!C158</f>
        <v>0</v>
      </c>
    </row>
    <row r="79" spans="1:4" x14ac:dyDescent="0.2">
      <c r="A79" s="463" t="s">
        <v>29</v>
      </c>
      <c r="B79" s="464"/>
      <c r="C79" s="465"/>
      <c r="D79" s="32">
        <f>SUM(D73:D78)</f>
        <v>0</v>
      </c>
    </row>
    <row r="81" spans="1:4" x14ac:dyDescent="0.2">
      <c r="A81" s="455" t="s">
        <v>84</v>
      </c>
      <c r="B81" s="455"/>
      <c r="C81" s="455"/>
      <c r="D81" s="455"/>
    </row>
    <row r="83" spans="1:4" x14ac:dyDescent="0.2">
      <c r="A83" s="467" t="s">
        <v>87</v>
      </c>
      <c r="B83" s="467"/>
      <c r="C83" s="467"/>
      <c r="D83" s="467"/>
    </row>
    <row r="84" spans="1:4" x14ac:dyDescent="0.2">
      <c r="A84" s="13" t="s">
        <v>85</v>
      </c>
      <c r="B84" s="463" t="s">
        <v>86</v>
      </c>
      <c r="C84" s="465"/>
      <c r="D84" s="248" t="s">
        <v>24</v>
      </c>
    </row>
    <row r="85" spans="1:4" x14ac:dyDescent="0.2">
      <c r="A85" s="6" t="s">
        <v>3</v>
      </c>
      <c r="B85" s="470" t="s">
        <v>88</v>
      </c>
      <c r="C85" s="471"/>
      <c r="D85" s="8"/>
    </row>
    <row r="86" spans="1:4" x14ac:dyDescent="0.2">
      <c r="A86" s="34" t="s">
        <v>4</v>
      </c>
      <c r="B86" s="488" t="s">
        <v>86</v>
      </c>
      <c r="C86" s="489"/>
      <c r="D86" s="120">
        <f>+'Calculo Xerem 12x36 not'!C171</f>
        <v>0</v>
      </c>
    </row>
    <row r="87" spans="1:4" s="60" customFormat="1" x14ac:dyDescent="0.2">
      <c r="A87" s="34" t="s">
        <v>5</v>
      </c>
      <c r="B87" s="488" t="s">
        <v>89</v>
      </c>
      <c r="C87" s="489"/>
      <c r="D87" s="120">
        <f>+'Calculo Xerem 12x36 not'!C180</f>
        <v>0</v>
      </c>
    </row>
    <row r="88" spans="1:4" s="60" customFormat="1" x14ac:dyDescent="0.2">
      <c r="A88" s="34" t="s">
        <v>6</v>
      </c>
      <c r="B88" s="488" t="s">
        <v>90</v>
      </c>
      <c r="C88" s="489"/>
      <c r="D88" s="120">
        <f>+'Calculo Xerem 12x36 not'!C188</f>
        <v>0</v>
      </c>
    </row>
    <row r="89" spans="1:4" s="60" customFormat="1" ht="13.5" x14ac:dyDescent="0.2">
      <c r="A89" s="34" t="s">
        <v>25</v>
      </c>
      <c r="B89" s="488" t="s">
        <v>287</v>
      </c>
      <c r="C89" s="489"/>
      <c r="D89" s="120"/>
    </row>
    <row r="90" spans="1:4" s="60" customFormat="1" x14ac:dyDescent="0.2">
      <c r="A90" s="34" t="s">
        <v>26</v>
      </c>
      <c r="B90" s="488" t="s">
        <v>93</v>
      </c>
      <c r="C90" s="489"/>
      <c r="D90" s="120">
        <f>+'Calculo Xerem 12x36 not'!C196</f>
        <v>0</v>
      </c>
    </row>
    <row r="91" spans="1:4" x14ac:dyDescent="0.2">
      <c r="A91" s="6" t="s">
        <v>27</v>
      </c>
      <c r="B91" s="470" t="s">
        <v>36</v>
      </c>
      <c r="C91" s="471"/>
      <c r="D91" s="8"/>
    </row>
    <row r="92" spans="1:4" x14ac:dyDescent="0.2">
      <c r="A92" s="6" t="s">
        <v>28</v>
      </c>
      <c r="B92" s="470" t="s">
        <v>94</v>
      </c>
      <c r="C92" s="471"/>
      <c r="D92" s="384"/>
    </row>
    <row r="93" spans="1:4" x14ac:dyDescent="0.2">
      <c r="A93" s="474" t="s">
        <v>29</v>
      </c>
      <c r="B93" s="474"/>
      <c r="C93" s="474"/>
      <c r="D93" s="9">
        <f>SUM(D85:D92)</f>
        <v>0</v>
      </c>
    </row>
    <row r="94" spans="1:4" x14ac:dyDescent="0.2">
      <c r="D94" s="15"/>
    </row>
    <row r="95" spans="1:4" x14ac:dyDescent="0.2">
      <c r="A95" s="13" t="s">
        <v>99</v>
      </c>
      <c r="B95" s="463" t="s">
        <v>92</v>
      </c>
      <c r="C95" s="465"/>
      <c r="D95" s="248" t="s">
        <v>24</v>
      </c>
    </row>
    <row r="96" spans="1:4" s="60" customFormat="1" x14ac:dyDescent="0.2">
      <c r="A96" s="34" t="s">
        <v>3</v>
      </c>
      <c r="B96" s="475" t="s">
        <v>96</v>
      </c>
      <c r="C96" s="476"/>
      <c r="D96" s="120">
        <f>+'Calculo Xerem 12x36 not'!C220</f>
        <v>0</v>
      </c>
    </row>
    <row r="97" spans="1:4" s="60" customFormat="1" ht="25.5" customHeight="1" x14ac:dyDescent="0.2">
      <c r="A97" s="34" t="s">
        <v>4</v>
      </c>
      <c r="B97" s="490" t="s">
        <v>98</v>
      </c>
      <c r="C97" s="491"/>
      <c r="D97" s="384"/>
    </row>
    <row r="98" spans="1:4" s="60" customFormat="1" ht="27.75" customHeight="1" x14ac:dyDescent="0.2">
      <c r="A98" s="34" t="s">
        <v>5</v>
      </c>
      <c r="B98" s="490" t="s">
        <v>97</v>
      </c>
      <c r="C98" s="491"/>
      <c r="D98" s="384"/>
    </row>
    <row r="99" spans="1:4" x14ac:dyDescent="0.2">
      <c r="A99" s="6" t="s">
        <v>6</v>
      </c>
      <c r="B99" s="470" t="s">
        <v>36</v>
      </c>
      <c r="C99" s="471"/>
      <c r="D99" s="8"/>
    </row>
    <row r="100" spans="1:4" x14ac:dyDescent="0.2">
      <c r="A100" s="474" t="s">
        <v>29</v>
      </c>
      <c r="B100" s="474"/>
      <c r="C100" s="474"/>
      <c r="D100" s="9">
        <f>SUM(D96:D99)</f>
        <v>0</v>
      </c>
    </row>
    <row r="101" spans="1:4" x14ac:dyDescent="0.2">
      <c r="D101" s="15"/>
    </row>
    <row r="102" spans="1:4" x14ac:dyDescent="0.2">
      <c r="A102" s="13" t="s">
        <v>91</v>
      </c>
      <c r="B102" s="474" t="s">
        <v>100</v>
      </c>
      <c r="C102" s="474"/>
      <c r="D102" s="248" t="s">
        <v>24</v>
      </c>
    </row>
    <row r="103" spans="1:4" s="50" customFormat="1" ht="37.5" customHeight="1" x14ac:dyDescent="0.2">
      <c r="A103" s="108" t="s">
        <v>3</v>
      </c>
      <c r="B103" s="492" t="s">
        <v>288</v>
      </c>
      <c r="C103" s="492"/>
      <c r="D103" s="49">
        <f>+'Calculo Xerem 12x36 not'!C209</f>
        <v>0</v>
      </c>
    </row>
    <row r="104" spans="1:4" x14ac:dyDescent="0.2">
      <c r="A104" s="474" t="s">
        <v>29</v>
      </c>
      <c r="B104" s="474"/>
      <c r="C104" s="474"/>
      <c r="D104" s="9">
        <f>SUM(D103:D103)</f>
        <v>0</v>
      </c>
    </row>
    <row r="106" spans="1:4" x14ac:dyDescent="0.2">
      <c r="A106" s="252" t="s">
        <v>109</v>
      </c>
      <c r="B106" s="252"/>
      <c r="C106" s="252"/>
      <c r="D106" s="252"/>
    </row>
    <row r="107" spans="1:4" x14ac:dyDescent="0.2">
      <c r="A107" s="6" t="s">
        <v>85</v>
      </c>
      <c r="B107" s="470" t="s">
        <v>86</v>
      </c>
      <c r="C107" s="471"/>
      <c r="D107" s="18">
        <f>+D93</f>
        <v>0</v>
      </c>
    </row>
    <row r="108" spans="1:4" x14ac:dyDescent="0.2">
      <c r="A108" s="6" t="s">
        <v>99</v>
      </c>
      <c r="B108" s="470" t="s">
        <v>92</v>
      </c>
      <c r="C108" s="471"/>
      <c r="D108" s="18">
        <f>+D100</f>
        <v>0</v>
      </c>
    </row>
    <row r="109" spans="1:4" x14ac:dyDescent="0.2">
      <c r="A109" s="74"/>
      <c r="B109" s="472" t="s">
        <v>110</v>
      </c>
      <c r="C109" s="473"/>
      <c r="D109" s="73">
        <f>+D108+D107</f>
        <v>0</v>
      </c>
    </row>
    <row r="110" spans="1:4" x14ac:dyDescent="0.2">
      <c r="A110" s="6" t="s">
        <v>91</v>
      </c>
      <c r="B110" s="470" t="s">
        <v>100</v>
      </c>
      <c r="C110" s="471"/>
      <c r="D110" s="18">
        <f>+D104</f>
        <v>0</v>
      </c>
    </row>
    <row r="111" spans="1:4" x14ac:dyDescent="0.2">
      <c r="A111" s="494" t="s">
        <v>29</v>
      </c>
      <c r="B111" s="494"/>
      <c r="C111" s="494"/>
      <c r="D111" s="71">
        <f>+D110+D109</f>
        <v>0</v>
      </c>
    </row>
    <row r="113" spans="1:4" x14ac:dyDescent="0.2">
      <c r="A113" s="455" t="s">
        <v>151</v>
      </c>
      <c r="B113" s="455"/>
      <c r="C113" s="455"/>
      <c r="D113" s="455"/>
    </row>
    <row r="115" spans="1:4" x14ac:dyDescent="0.2">
      <c r="A115" s="13">
        <v>5</v>
      </c>
      <c r="B115" s="463" t="s">
        <v>152</v>
      </c>
      <c r="C115" s="465"/>
      <c r="D115" s="248" t="s">
        <v>24</v>
      </c>
    </row>
    <row r="116" spans="1:4" x14ac:dyDescent="0.2">
      <c r="A116" s="6" t="s">
        <v>3</v>
      </c>
      <c r="B116" s="388" t="s">
        <v>153</v>
      </c>
      <c r="C116" s="388"/>
      <c r="D116" s="8">
        <f>+Uniforme!G106</f>
        <v>0</v>
      </c>
    </row>
    <row r="117" spans="1:4" x14ac:dyDescent="0.2">
      <c r="A117" s="6" t="s">
        <v>177</v>
      </c>
      <c r="B117" s="34" t="s">
        <v>178</v>
      </c>
      <c r="C117" s="29">
        <f>+$C$135+$C$136</f>
        <v>3.6499999999999998E-2</v>
      </c>
      <c r="D117" s="77">
        <f>+(C117*D116)*-1</f>
        <v>0</v>
      </c>
    </row>
    <row r="118" spans="1:4" x14ac:dyDescent="0.2">
      <c r="A118" s="6" t="s">
        <v>4</v>
      </c>
      <c r="B118" s="388" t="s">
        <v>154</v>
      </c>
      <c r="C118" s="388"/>
      <c r="D118" s="8"/>
    </row>
    <row r="119" spans="1:4" x14ac:dyDescent="0.2">
      <c r="A119" s="6" t="s">
        <v>41</v>
      </c>
      <c r="B119" s="34" t="s">
        <v>178</v>
      </c>
      <c r="C119" s="29">
        <f>+$C$135+$C$136</f>
        <v>3.6499999999999998E-2</v>
      </c>
      <c r="D119" s="77">
        <f>+(C119*D118)*-1</f>
        <v>0</v>
      </c>
    </row>
    <row r="120" spans="1:4" x14ac:dyDescent="0.2">
      <c r="A120" s="6" t="s">
        <v>5</v>
      </c>
      <c r="B120" s="388" t="s">
        <v>155</v>
      </c>
      <c r="C120" s="388"/>
      <c r="D120" s="8">
        <f>+Uniforme!F114</f>
        <v>0</v>
      </c>
    </row>
    <row r="121" spans="1:4" x14ac:dyDescent="0.2">
      <c r="A121" s="6" t="s">
        <v>161</v>
      </c>
      <c r="B121" s="34" t="s">
        <v>178</v>
      </c>
      <c r="C121" s="29">
        <f>+$C$135+$C$136</f>
        <v>3.6499999999999998E-2</v>
      </c>
      <c r="D121" s="77">
        <f>+(C121*D120)*-1</f>
        <v>0</v>
      </c>
    </row>
    <row r="122" spans="1:4" x14ac:dyDescent="0.2">
      <c r="A122" s="6" t="s">
        <v>6</v>
      </c>
      <c r="B122" s="388" t="s">
        <v>36</v>
      </c>
      <c r="C122" s="388"/>
      <c r="D122" s="8"/>
    </row>
    <row r="123" spans="1:4" x14ac:dyDescent="0.2">
      <c r="A123" s="6" t="s">
        <v>179</v>
      </c>
      <c r="B123" s="34" t="s">
        <v>178</v>
      </c>
      <c r="C123" s="29">
        <f>+$C$135+$C$136</f>
        <v>3.6499999999999998E-2</v>
      </c>
      <c r="D123" s="77">
        <f>+(C123*D122)*-1</f>
        <v>0</v>
      </c>
    </row>
    <row r="124" spans="1:4" x14ac:dyDescent="0.2">
      <c r="A124" s="474" t="s">
        <v>29</v>
      </c>
      <c r="B124" s="474"/>
      <c r="C124" s="474"/>
      <c r="D124" s="9">
        <f>SUM(D116:D122)</f>
        <v>0</v>
      </c>
    </row>
    <row r="126" spans="1:4" x14ac:dyDescent="0.2">
      <c r="A126" s="455" t="s">
        <v>156</v>
      </c>
      <c r="B126" s="455"/>
      <c r="C126" s="455"/>
      <c r="D126" s="455"/>
    </row>
    <row r="128" spans="1:4" x14ac:dyDescent="0.2">
      <c r="A128" s="13">
        <v>6</v>
      </c>
      <c r="B128" s="14" t="s">
        <v>157</v>
      </c>
      <c r="C128" s="251" t="s">
        <v>50</v>
      </c>
      <c r="D128" s="248" t="s">
        <v>24</v>
      </c>
    </row>
    <row r="129" spans="1:4" x14ac:dyDescent="0.2">
      <c r="A129" s="116" t="s">
        <v>3</v>
      </c>
      <c r="B129" s="116" t="s">
        <v>158</v>
      </c>
      <c r="C129" s="114">
        <v>0.03</v>
      </c>
      <c r="D129" s="377">
        <f>($D$124+$D$111+$D$79+$D$68+$D$23)*C129</f>
        <v>0</v>
      </c>
    </row>
    <row r="130" spans="1:4" x14ac:dyDescent="0.2">
      <c r="A130" s="116" t="s">
        <v>4</v>
      </c>
      <c r="B130" s="116" t="s">
        <v>159</v>
      </c>
      <c r="C130" s="114">
        <v>0.03</v>
      </c>
      <c r="D130" s="377">
        <f>($D$124+$D$111+$D$79+$D$68+$D$23+D129)*C130</f>
        <v>0</v>
      </c>
    </row>
    <row r="131" spans="1:4" s="79" customFormat="1" x14ac:dyDescent="0.2">
      <c r="A131" s="495" t="s">
        <v>181</v>
      </c>
      <c r="B131" s="496"/>
      <c r="C131" s="497"/>
      <c r="D131" s="81">
        <f>++D130+D129+D124+D111+D79+D68+D23</f>
        <v>0</v>
      </c>
    </row>
    <row r="132" spans="1:4" s="79" customFormat="1" x14ac:dyDescent="0.2">
      <c r="A132" s="498" t="s">
        <v>182</v>
      </c>
      <c r="B132" s="499"/>
      <c r="C132" s="500"/>
      <c r="D132" s="81">
        <f>ROUND(D131/(1-(C135+C136+C138+C140+C141)),2)</f>
        <v>0</v>
      </c>
    </row>
    <row r="133" spans="1:4" x14ac:dyDescent="0.2">
      <c r="A133" s="6" t="s">
        <v>5</v>
      </c>
      <c r="B133" s="6" t="s">
        <v>160</v>
      </c>
      <c r="C133" s="17"/>
      <c r="D133" s="6"/>
    </row>
    <row r="134" spans="1:4" x14ac:dyDescent="0.2">
      <c r="A134" s="6" t="s">
        <v>161</v>
      </c>
      <c r="B134" s="6" t="s">
        <v>162</v>
      </c>
      <c r="C134" s="17"/>
      <c r="D134" s="6"/>
    </row>
    <row r="135" spans="1:4" x14ac:dyDescent="0.2">
      <c r="A135" s="116" t="s">
        <v>163</v>
      </c>
      <c r="B135" s="116" t="s">
        <v>165</v>
      </c>
      <c r="C135" s="114">
        <v>6.4999999999999997E-3</v>
      </c>
      <c r="D135" s="377">
        <f>ROUND(C135*$D$132,2)</f>
        <v>0</v>
      </c>
    </row>
    <row r="136" spans="1:4" x14ac:dyDescent="0.2">
      <c r="A136" s="116" t="s">
        <v>164</v>
      </c>
      <c r="B136" s="116" t="s">
        <v>166</v>
      </c>
      <c r="C136" s="114">
        <v>0.03</v>
      </c>
      <c r="D136" s="377">
        <f>ROUND(C136*$D$132,2)</f>
        <v>0</v>
      </c>
    </row>
    <row r="137" spans="1:4" x14ac:dyDescent="0.2">
      <c r="A137" s="6" t="s">
        <v>167</v>
      </c>
      <c r="B137" s="6" t="s">
        <v>168</v>
      </c>
      <c r="C137" s="17"/>
      <c r="D137" s="18"/>
    </row>
    <row r="138" spans="1:4" x14ac:dyDescent="0.2">
      <c r="A138" s="6" t="s">
        <v>170</v>
      </c>
      <c r="B138" s="6" t="s">
        <v>169</v>
      </c>
      <c r="C138" s="17"/>
      <c r="D138" s="6"/>
    </row>
    <row r="139" spans="1:4" x14ac:dyDescent="0.2">
      <c r="A139" s="6" t="s">
        <v>171</v>
      </c>
      <c r="B139" s="6" t="s">
        <v>172</v>
      </c>
      <c r="C139" s="17"/>
      <c r="D139" s="6"/>
    </row>
    <row r="140" spans="1:4" x14ac:dyDescent="0.2">
      <c r="A140" s="116" t="s">
        <v>173</v>
      </c>
      <c r="B140" s="116" t="s">
        <v>174</v>
      </c>
      <c r="C140" s="114">
        <v>0.05</v>
      </c>
      <c r="D140" s="377">
        <f>ROUND(C140*$D$132,2)</f>
        <v>0</v>
      </c>
    </row>
    <row r="141" spans="1:4" x14ac:dyDescent="0.2">
      <c r="A141" s="6" t="s">
        <v>175</v>
      </c>
      <c r="B141" s="6" t="s">
        <v>176</v>
      </c>
      <c r="C141" s="17"/>
      <c r="D141" s="6"/>
    </row>
    <row r="142" spans="1:4" x14ac:dyDescent="0.2">
      <c r="A142" s="463" t="s">
        <v>29</v>
      </c>
      <c r="B142" s="464"/>
      <c r="C142" s="80">
        <f>+C141+C140+C138+C136+C135+C130+C129</f>
        <v>0.14650000000000002</v>
      </c>
      <c r="D142" s="9">
        <f>+D140+D138+D136+D135+D130+D129</f>
        <v>0</v>
      </c>
    </row>
    <row r="144" spans="1:4" x14ac:dyDescent="0.2">
      <c r="A144" s="501" t="s">
        <v>183</v>
      </c>
      <c r="B144" s="501"/>
      <c r="C144" s="501"/>
      <c r="D144" s="501"/>
    </row>
    <row r="145" spans="1:4" x14ac:dyDescent="0.2">
      <c r="A145" s="6" t="s">
        <v>3</v>
      </c>
      <c r="B145" s="456" t="s">
        <v>185</v>
      </c>
      <c r="C145" s="456"/>
      <c r="D145" s="8">
        <f>+D23</f>
        <v>0</v>
      </c>
    </row>
    <row r="146" spans="1:4" x14ac:dyDescent="0.2">
      <c r="A146" s="6" t="s">
        <v>184</v>
      </c>
      <c r="B146" s="456" t="s">
        <v>186</v>
      </c>
      <c r="C146" s="456"/>
      <c r="D146" s="8">
        <f>+D68</f>
        <v>0</v>
      </c>
    </row>
    <row r="147" spans="1:4" x14ac:dyDescent="0.2">
      <c r="A147" s="6" t="s">
        <v>5</v>
      </c>
      <c r="B147" s="456" t="s">
        <v>187</v>
      </c>
      <c r="C147" s="456"/>
      <c r="D147" s="8">
        <f>+D79</f>
        <v>0</v>
      </c>
    </row>
    <row r="148" spans="1:4" x14ac:dyDescent="0.2">
      <c r="A148" s="6" t="s">
        <v>6</v>
      </c>
      <c r="B148" s="456" t="s">
        <v>188</v>
      </c>
      <c r="C148" s="456"/>
      <c r="D148" s="8">
        <f>+D111</f>
        <v>0</v>
      </c>
    </row>
    <row r="149" spans="1:4" x14ac:dyDescent="0.2">
      <c r="A149" s="6" t="s">
        <v>25</v>
      </c>
      <c r="B149" s="456" t="s">
        <v>189</v>
      </c>
      <c r="C149" s="456"/>
      <c r="D149" s="8">
        <f>+D124</f>
        <v>0</v>
      </c>
    </row>
    <row r="150" spans="1:4" x14ac:dyDescent="0.2">
      <c r="B150" s="457" t="s">
        <v>192</v>
      </c>
      <c r="C150" s="457"/>
      <c r="D150" s="72">
        <f>SUM(D145:D149)</f>
        <v>0</v>
      </c>
    </row>
    <row r="151" spans="1:4" x14ac:dyDescent="0.2">
      <c r="A151" s="6" t="s">
        <v>26</v>
      </c>
      <c r="B151" s="456" t="s">
        <v>190</v>
      </c>
      <c r="C151" s="456"/>
      <c r="D151" s="8">
        <f>+D142</f>
        <v>0</v>
      </c>
    </row>
    <row r="153" spans="1:4" x14ac:dyDescent="0.2">
      <c r="A153" s="493" t="s">
        <v>191</v>
      </c>
      <c r="B153" s="493"/>
      <c r="C153" s="493"/>
      <c r="D153" s="82">
        <f>ROUND(+D151+D150,2)</f>
        <v>0</v>
      </c>
    </row>
    <row r="155" spans="1:4" x14ac:dyDescent="0.2">
      <c r="A155" s="459" t="s">
        <v>77</v>
      </c>
      <c r="B155" s="459"/>
      <c r="C155" s="459"/>
      <c r="D155" s="459"/>
    </row>
    <row r="157" spans="1:4" x14ac:dyDescent="0.2">
      <c r="A157" s="6" t="s">
        <v>3</v>
      </c>
      <c r="B157" s="6" t="s">
        <v>46</v>
      </c>
      <c r="C157" s="44" t="e">
        <f>+C29</f>
        <v>#DIV/0!</v>
      </c>
      <c r="D157" s="8">
        <f>+D29</f>
        <v>0</v>
      </c>
    </row>
    <row r="158" spans="1:4" x14ac:dyDescent="0.2">
      <c r="A158" s="6" t="s">
        <v>4</v>
      </c>
      <c r="B158" s="6" t="s">
        <v>45</v>
      </c>
      <c r="C158" s="44" t="e">
        <f>+C31</f>
        <v>#DIV/0!</v>
      </c>
      <c r="D158" s="8">
        <f>+D31</f>
        <v>0</v>
      </c>
    </row>
    <row r="159" spans="1:4" x14ac:dyDescent="0.2">
      <c r="A159" s="6" t="s">
        <v>5</v>
      </c>
      <c r="B159" s="6" t="s">
        <v>44</v>
      </c>
      <c r="C159" s="44" t="e">
        <f>+C32</f>
        <v>#DIV/0!</v>
      </c>
      <c r="D159" s="8">
        <f>+D32</f>
        <v>0</v>
      </c>
    </row>
    <row r="160" spans="1:4" ht="25.5" x14ac:dyDescent="0.2">
      <c r="A160" s="6" t="s">
        <v>6</v>
      </c>
      <c r="B160" s="30" t="s">
        <v>75</v>
      </c>
      <c r="C160" s="17" t="e">
        <f>+C75</f>
        <v>#DIV/0!</v>
      </c>
      <c r="D160" s="8">
        <f>+D75</f>
        <v>0</v>
      </c>
    </row>
    <row r="161" spans="1:5" ht="25.5" x14ac:dyDescent="0.2">
      <c r="A161" s="6" t="s">
        <v>25</v>
      </c>
      <c r="B161" s="30" t="s">
        <v>76</v>
      </c>
      <c r="C161" s="44" t="e">
        <f>+C78</f>
        <v>#DIV/0!</v>
      </c>
      <c r="D161" s="18">
        <f>+D78</f>
        <v>0</v>
      </c>
    </row>
    <row r="162" spans="1:5" x14ac:dyDescent="0.2">
      <c r="A162" s="6" t="s">
        <v>81</v>
      </c>
      <c r="B162" s="34" t="s">
        <v>79</v>
      </c>
      <c r="C162" s="458" t="e">
        <f>+(D162+D163+D164)/D23</f>
        <v>#DIV/0!</v>
      </c>
      <c r="D162" s="8">
        <f>ROUND(D29*(SUM($C$37:$C$44)),2)</f>
        <v>0</v>
      </c>
    </row>
    <row r="163" spans="1:5" x14ac:dyDescent="0.2">
      <c r="A163" s="6" t="s">
        <v>82</v>
      </c>
      <c r="B163" s="34" t="s">
        <v>78</v>
      </c>
      <c r="C163" s="458"/>
      <c r="D163" s="8">
        <f>ROUND(D31*(SUM($C$37:$C$44)),2)</f>
        <v>0</v>
      </c>
    </row>
    <row r="164" spans="1:5" x14ac:dyDescent="0.2">
      <c r="A164" s="6" t="s">
        <v>83</v>
      </c>
      <c r="B164" s="34" t="s">
        <v>80</v>
      </c>
      <c r="C164" s="458"/>
      <c r="D164" s="8">
        <f>ROUND(D32*(SUM($C$37:$C$44)),2)</f>
        <v>0</v>
      </c>
    </row>
    <row r="165" spans="1:5" x14ac:dyDescent="0.2">
      <c r="A165" s="460" t="s">
        <v>29</v>
      </c>
      <c r="B165" s="461"/>
      <c r="C165" s="462"/>
      <c r="D165" s="45">
        <f>SUM(D157:D164)</f>
        <v>0</v>
      </c>
    </row>
    <row r="166" spans="1:5" x14ac:dyDescent="0.2">
      <c r="B166" s="96"/>
      <c r="C166" s="96"/>
      <c r="D166" s="96"/>
    </row>
    <row r="167" spans="1:5" x14ac:dyDescent="0.2">
      <c r="A167" s="97"/>
      <c r="B167" s="97"/>
      <c r="C167" s="97"/>
      <c r="D167" s="97"/>
      <c r="E167" s="97"/>
    </row>
    <row r="168" spans="1:5" s="67" customFormat="1" ht="42" customHeight="1" x14ac:dyDescent="0.2">
      <c r="A168" s="452" t="s">
        <v>289</v>
      </c>
      <c r="B168" s="452"/>
      <c r="C168" s="452"/>
      <c r="D168" s="452"/>
      <c r="E168" s="128"/>
    </row>
    <row r="169" spans="1:5" x14ac:dyDescent="0.2">
      <c r="A169" s="97"/>
      <c r="B169" s="97"/>
      <c r="C169" s="97"/>
      <c r="D169" s="97"/>
      <c r="E169" s="97"/>
    </row>
    <row r="170" spans="1:5" ht="46.5" customHeight="1" x14ac:dyDescent="0.2">
      <c r="A170" s="453" t="s">
        <v>290</v>
      </c>
      <c r="B170" s="453"/>
      <c r="C170" s="453"/>
      <c r="D170" s="453"/>
      <c r="E170" s="97"/>
    </row>
    <row r="171" spans="1:5" x14ac:dyDescent="0.2">
      <c r="A171" s="97"/>
      <c r="B171" s="97"/>
      <c r="C171" s="97"/>
      <c r="D171" s="97"/>
      <c r="E171" s="97"/>
    </row>
    <row r="172" spans="1:5" x14ac:dyDescent="0.2">
      <c r="A172" s="97"/>
      <c r="B172" s="97"/>
      <c r="C172" s="97"/>
      <c r="D172" s="97"/>
      <c r="E172" s="97"/>
    </row>
    <row r="173" spans="1:5" x14ac:dyDescent="0.2">
      <c r="A173" s="97"/>
      <c r="B173" s="97"/>
      <c r="C173" s="97"/>
      <c r="D173" s="97"/>
      <c r="E173" s="97"/>
    </row>
    <row r="174" spans="1:5" x14ac:dyDescent="0.2">
      <c r="A174" s="97"/>
      <c r="B174" s="97"/>
      <c r="C174" s="97"/>
      <c r="D174" s="97"/>
      <c r="E174" s="97"/>
    </row>
    <row r="175" spans="1:5" x14ac:dyDescent="0.2">
      <c r="A175" s="97"/>
      <c r="B175" s="97"/>
      <c r="C175" s="97"/>
      <c r="D175" s="97"/>
      <c r="E175" s="97"/>
    </row>
    <row r="176" spans="1:5" x14ac:dyDescent="0.2">
      <c r="A176" s="97"/>
      <c r="B176" s="97"/>
      <c r="C176" s="97"/>
      <c r="D176" s="97"/>
      <c r="E176" s="97"/>
    </row>
    <row r="177" spans="1:5" x14ac:dyDescent="0.2">
      <c r="A177" s="97"/>
      <c r="B177" s="97"/>
      <c r="C177" s="97"/>
      <c r="D177" s="97"/>
      <c r="E177" s="97"/>
    </row>
    <row r="178" spans="1:5" x14ac:dyDescent="0.2">
      <c r="A178" s="97"/>
      <c r="B178" s="97"/>
      <c r="C178" s="97"/>
      <c r="D178" s="97"/>
      <c r="E178" s="97"/>
    </row>
    <row r="179" spans="1:5" x14ac:dyDescent="0.2">
      <c r="A179" s="97"/>
      <c r="B179" s="97"/>
      <c r="C179" s="97"/>
      <c r="D179" s="97"/>
      <c r="E179" s="97"/>
    </row>
    <row r="180" spans="1:5" x14ac:dyDescent="0.2">
      <c r="A180" s="97"/>
      <c r="B180" s="97"/>
      <c r="C180" s="97"/>
      <c r="D180" s="97"/>
      <c r="E180" s="97"/>
    </row>
    <row r="181" spans="1:5" x14ac:dyDescent="0.2">
      <c r="A181" s="97"/>
      <c r="B181" s="97"/>
      <c r="C181" s="97"/>
      <c r="D181" s="97"/>
      <c r="E181" s="97"/>
    </row>
    <row r="182" spans="1:5" x14ac:dyDescent="0.2">
      <c r="A182" s="97"/>
      <c r="B182" s="97"/>
      <c r="C182" s="97"/>
      <c r="D182" s="97"/>
      <c r="E182" s="97"/>
    </row>
    <row r="183" spans="1:5" x14ac:dyDescent="0.2">
      <c r="A183" s="97"/>
      <c r="B183" s="97"/>
      <c r="C183" s="97"/>
      <c r="D183" s="97"/>
      <c r="E183" s="97"/>
    </row>
    <row r="184" spans="1:5" x14ac:dyDescent="0.2">
      <c r="A184" s="97"/>
      <c r="B184" s="97"/>
      <c r="C184" s="97"/>
      <c r="D184" s="97"/>
      <c r="E184" s="97"/>
    </row>
  </sheetData>
  <mergeCells count="83">
    <mergeCell ref="B17:C17"/>
    <mergeCell ref="A1:D1"/>
    <mergeCell ref="A3:D3"/>
    <mergeCell ref="C4:D4"/>
    <mergeCell ref="C5:D5"/>
    <mergeCell ref="C6:D6"/>
    <mergeCell ref="C7:D7"/>
    <mergeCell ref="C8:D8"/>
    <mergeCell ref="A10:D10"/>
    <mergeCell ref="B12:C12"/>
    <mergeCell ref="B15:C15"/>
    <mergeCell ref="B16:C16"/>
    <mergeCell ref="A61:B61"/>
    <mergeCell ref="B18:C18"/>
    <mergeCell ref="B19:C19"/>
    <mergeCell ref="B21:C21"/>
    <mergeCell ref="B22:C22"/>
    <mergeCell ref="A23:C23"/>
    <mergeCell ref="A25:D25"/>
    <mergeCell ref="A27:D27"/>
    <mergeCell ref="A33:C33"/>
    <mergeCell ref="A35:D35"/>
    <mergeCell ref="A47:D47"/>
    <mergeCell ref="B59:C59"/>
    <mergeCell ref="B85:C85"/>
    <mergeCell ref="A63:D63"/>
    <mergeCell ref="B64:C64"/>
    <mergeCell ref="B65:C65"/>
    <mergeCell ref="B66:C66"/>
    <mergeCell ref="B67:C67"/>
    <mergeCell ref="A68:C68"/>
    <mergeCell ref="A70:D70"/>
    <mergeCell ref="A79:C79"/>
    <mergeCell ref="A81:D81"/>
    <mergeCell ref="A83:D83"/>
    <mergeCell ref="B84:C84"/>
    <mergeCell ref="B98:C98"/>
    <mergeCell ref="B86:C86"/>
    <mergeCell ref="B87:C87"/>
    <mergeCell ref="B88:C88"/>
    <mergeCell ref="B89:C89"/>
    <mergeCell ref="B90:C90"/>
    <mergeCell ref="B91:C91"/>
    <mergeCell ref="B92:C92"/>
    <mergeCell ref="A93:C93"/>
    <mergeCell ref="B95:C95"/>
    <mergeCell ref="B96:C96"/>
    <mergeCell ref="B97:C97"/>
    <mergeCell ref="B115:C115"/>
    <mergeCell ref="B99:C99"/>
    <mergeCell ref="A100:C100"/>
    <mergeCell ref="B102:C102"/>
    <mergeCell ref="B103:C103"/>
    <mergeCell ref="A104:C104"/>
    <mergeCell ref="B107:C107"/>
    <mergeCell ref="B108:C108"/>
    <mergeCell ref="B109:C109"/>
    <mergeCell ref="B110:C110"/>
    <mergeCell ref="A111:C111"/>
    <mergeCell ref="A113:D113"/>
    <mergeCell ref="B146:C146"/>
    <mergeCell ref="B116:C116"/>
    <mergeCell ref="B118:C118"/>
    <mergeCell ref="B120:C120"/>
    <mergeCell ref="B122:C122"/>
    <mergeCell ref="A124:C124"/>
    <mergeCell ref="A126:D126"/>
    <mergeCell ref="A131:C131"/>
    <mergeCell ref="A132:C132"/>
    <mergeCell ref="A142:B142"/>
    <mergeCell ref="A144:D144"/>
    <mergeCell ref="B145:C145"/>
    <mergeCell ref="B147:C147"/>
    <mergeCell ref="B148:C148"/>
    <mergeCell ref="B149:C149"/>
    <mergeCell ref="B150:C150"/>
    <mergeCell ref="B151:C151"/>
    <mergeCell ref="A170:D170"/>
    <mergeCell ref="A153:C153"/>
    <mergeCell ref="A155:D155"/>
    <mergeCell ref="C162:C164"/>
    <mergeCell ref="A165:C165"/>
    <mergeCell ref="A168:D168"/>
  </mergeCells>
  <pageMargins left="1.19" right="0.12" top="0.35" bottom="0.45" header="0.31496062992125984" footer="0.12"/>
  <pageSetup paperSize="9" scale="90" orientation="portrait" r:id="rId1"/>
  <headerFooter>
    <oddFooter>&amp;A</oddFooter>
  </headerFooter>
  <rowBreaks count="2" manualBreakCount="2">
    <brk id="62" max="16383" man="1"/>
    <brk id="114" max="16383" man="1"/>
  </rowBreaks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sheetPr>
    <tabColor rgb="FFFF33CC"/>
  </sheetPr>
  <dimension ref="A1:D230"/>
  <sheetViews>
    <sheetView workbookViewId="0">
      <selection activeCell="B8" sqref="B8"/>
    </sheetView>
  </sheetViews>
  <sheetFormatPr defaultRowHeight="12.75" x14ac:dyDescent="0.2"/>
  <cols>
    <col min="1" max="1" width="64.5" customWidth="1"/>
    <col min="2" max="2" width="12.25" bestFit="1" customWidth="1"/>
    <col min="3" max="3" width="11.875" bestFit="1" customWidth="1"/>
    <col min="4" max="4" width="9.375" bestFit="1" customWidth="1"/>
    <col min="5" max="5" width="69.125" customWidth="1"/>
  </cols>
  <sheetData>
    <row r="1" spans="1:3" ht="37.5" customHeight="1" x14ac:dyDescent="0.25">
      <c r="A1" s="590" t="s">
        <v>430</v>
      </c>
      <c r="B1" s="590"/>
      <c r="C1" s="590"/>
    </row>
    <row r="2" spans="1:3" x14ac:dyDescent="0.2">
      <c r="A2" s="67"/>
    </row>
    <row r="3" spans="1:3" x14ac:dyDescent="0.2">
      <c r="A3" s="6" t="s">
        <v>102</v>
      </c>
      <c r="B3" s="6">
        <v>220</v>
      </c>
    </row>
    <row r="4" spans="1:3" x14ac:dyDescent="0.2">
      <c r="A4" s="6" t="s">
        <v>228</v>
      </c>
      <c r="B4" s="6">
        <v>365.25</v>
      </c>
    </row>
    <row r="5" spans="1:3" x14ac:dyDescent="0.2">
      <c r="A5" s="6" t="s">
        <v>230</v>
      </c>
      <c r="B5" s="51">
        <f>(365.25/12/2)/(7/7)</f>
        <v>15.21875</v>
      </c>
    </row>
    <row r="6" spans="1:3" x14ac:dyDescent="0.2">
      <c r="A6" s="34" t="s">
        <v>30</v>
      </c>
      <c r="B6" s="18">
        <f>+'Vigilante Xerem 12x36 not Arm'!D12</f>
        <v>0</v>
      </c>
    </row>
    <row r="7" spans="1:3" x14ac:dyDescent="0.2">
      <c r="A7" s="34" t="s">
        <v>241</v>
      </c>
      <c r="B7" s="18">
        <f>+'Vigilante Xerem 12x36 not Arm'!D23</f>
        <v>0</v>
      </c>
    </row>
    <row r="9" spans="1:3" x14ac:dyDescent="0.2">
      <c r="A9" s="503" t="s">
        <v>209</v>
      </c>
      <c r="B9" s="503"/>
      <c r="C9" s="503"/>
    </row>
    <row r="10" spans="1:3" x14ac:dyDescent="0.2">
      <c r="A10" s="6" t="s">
        <v>30</v>
      </c>
      <c r="B10" s="52"/>
      <c r="C10" s="90">
        <f>+'Vigilante Xerem 12x36 not Arm'!D10</f>
        <v>0</v>
      </c>
    </row>
    <row r="11" spans="1:3" x14ac:dyDescent="0.2">
      <c r="A11" s="6" t="s">
        <v>31</v>
      </c>
      <c r="B11" s="52"/>
      <c r="C11" s="90" t="str">
        <f>+'Vigilante Xerem 12x36 not Arm'!D11</f>
        <v>Valor (R$)</v>
      </c>
    </row>
    <row r="12" spans="1:3" x14ac:dyDescent="0.2">
      <c r="A12" s="6" t="s">
        <v>32</v>
      </c>
      <c r="B12" s="52"/>
      <c r="C12" s="90">
        <f>+'Vigilante Xerem 12x36 not Arm'!D12</f>
        <v>0</v>
      </c>
    </row>
    <row r="13" spans="1:3" x14ac:dyDescent="0.2">
      <c r="A13" s="6" t="s">
        <v>33</v>
      </c>
      <c r="B13" s="52"/>
      <c r="C13" s="90">
        <f>+'Vigilante Xerem 12x36 not Arm'!D13</f>
        <v>0</v>
      </c>
    </row>
    <row r="14" spans="1:3" x14ac:dyDescent="0.2">
      <c r="A14" s="6" t="s">
        <v>34</v>
      </c>
      <c r="B14" s="52"/>
      <c r="C14" s="90">
        <f>+'Vigilante Xerem 12x36 not Arm'!D14</f>
        <v>0</v>
      </c>
    </row>
    <row r="15" spans="1:3" x14ac:dyDescent="0.2">
      <c r="A15" t="s">
        <v>65</v>
      </c>
      <c r="B15" s="52"/>
      <c r="C15" s="90">
        <f>+'Vigilante Xerem 12x36 not Arm'!D18</f>
        <v>0</v>
      </c>
    </row>
    <row r="16" spans="1:3" x14ac:dyDescent="0.2">
      <c r="A16" s="35" t="s">
        <v>193</v>
      </c>
      <c r="B16" s="101"/>
      <c r="C16" s="102">
        <f>SUM(C10:C15)</f>
        <v>0</v>
      </c>
    </row>
    <row r="17" spans="1:3" x14ac:dyDescent="0.2">
      <c r="A17" s="6" t="s">
        <v>102</v>
      </c>
      <c r="B17" s="57">
        <f>+B3</f>
        <v>220</v>
      </c>
      <c r="C17" s="54"/>
    </row>
    <row r="18" spans="1:3" x14ac:dyDescent="0.2">
      <c r="A18" s="35" t="s">
        <v>103</v>
      </c>
      <c r="B18" s="101"/>
      <c r="C18" s="36">
        <f>+C16/B17</f>
        <v>0</v>
      </c>
    </row>
    <row r="19" spans="1:3" x14ac:dyDescent="0.2">
      <c r="A19" s="6" t="s">
        <v>197</v>
      </c>
      <c r="B19" s="6">
        <v>16</v>
      </c>
      <c r="C19" s="54"/>
    </row>
    <row r="20" spans="1:3" x14ac:dyDescent="0.2">
      <c r="A20" s="6" t="s">
        <v>198</v>
      </c>
      <c r="B20" s="6">
        <v>12</v>
      </c>
      <c r="C20" s="54"/>
    </row>
    <row r="21" spans="1:3" x14ac:dyDescent="0.2">
      <c r="A21" s="6" t="s">
        <v>199</v>
      </c>
      <c r="B21" s="6">
        <f>+B20*B19</f>
        <v>192</v>
      </c>
      <c r="C21" s="8">
        <f>+B21*C18</f>
        <v>0</v>
      </c>
    </row>
    <row r="22" spans="1:3" x14ac:dyDescent="0.2">
      <c r="A22" s="6" t="s">
        <v>200</v>
      </c>
      <c r="B22" s="17">
        <v>0.5</v>
      </c>
      <c r="C22" s="8">
        <f>+B22*C21</f>
        <v>0</v>
      </c>
    </row>
    <row r="23" spans="1:3" x14ac:dyDescent="0.2">
      <c r="A23" s="6" t="s">
        <v>201</v>
      </c>
      <c r="B23" s="17">
        <v>1</v>
      </c>
      <c r="C23" s="8">
        <f>+B23*C22</f>
        <v>0</v>
      </c>
    </row>
    <row r="24" spans="1:3" x14ac:dyDescent="0.2">
      <c r="A24" s="6" t="s">
        <v>202</v>
      </c>
      <c r="B24" s="6">
        <v>12</v>
      </c>
      <c r="C24" s="91"/>
    </row>
    <row r="25" spans="1:3" x14ac:dyDescent="0.2">
      <c r="A25" s="504" t="s">
        <v>203</v>
      </c>
      <c r="B25" s="505"/>
      <c r="C25" s="45">
        <f>+C23/B24</f>
        <v>0</v>
      </c>
    </row>
    <row r="26" spans="1:3" x14ac:dyDescent="0.2">
      <c r="C26" s="15"/>
    </row>
    <row r="27" spans="1:3" x14ac:dyDescent="0.2">
      <c r="A27" s="503" t="s">
        <v>210</v>
      </c>
      <c r="B27" s="503"/>
      <c r="C27" s="503"/>
    </row>
    <row r="28" spans="1:3" x14ac:dyDescent="0.2">
      <c r="A28" s="6" t="s">
        <v>103</v>
      </c>
      <c r="B28" s="52"/>
      <c r="C28" s="90">
        <f>+C18</f>
        <v>0</v>
      </c>
    </row>
    <row r="29" spans="1:3" x14ac:dyDescent="0.2">
      <c r="A29" s="6" t="s">
        <v>199</v>
      </c>
      <c r="B29" s="6">
        <v>192</v>
      </c>
      <c r="C29" s="54"/>
    </row>
    <row r="30" spans="1:3" x14ac:dyDescent="0.2">
      <c r="A30" s="6" t="s">
        <v>204</v>
      </c>
      <c r="B30" s="6">
        <f>+$B$4</f>
        <v>365.25</v>
      </c>
      <c r="C30" s="54"/>
    </row>
    <row r="31" spans="1:3" x14ac:dyDescent="0.2">
      <c r="A31" s="6" t="s">
        <v>197</v>
      </c>
      <c r="B31" s="6">
        <v>16</v>
      </c>
      <c r="C31" s="54"/>
    </row>
    <row r="32" spans="1:3" x14ac:dyDescent="0.2">
      <c r="A32" s="6" t="s">
        <v>200</v>
      </c>
      <c r="B32" s="17">
        <v>0.5</v>
      </c>
      <c r="C32" s="54"/>
    </row>
    <row r="33" spans="1:3" x14ac:dyDescent="0.2">
      <c r="A33" s="6" t="s">
        <v>205</v>
      </c>
      <c r="B33" s="92">
        <f>ROUND(((B30/7)*6)-B31,2)</f>
        <v>297.07</v>
      </c>
      <c r="C33" s="54"/>
    </row>
    <row r="34" spans="1:3" x14ac:dyDescent="0.2">
      <c r="A34" s="6" t="s">
        <v>206</v>
      </c>
      <c r="B34" s="34">
        <v>12</v>
      </c>
      <c r="C34" s="54"/>
    </row>
    <row r="35" spans="1:3" ht="25.5" x14ac:dyDescent="0.2">
      <c r="A35" s="30" t="s">
        <v>207</v>
      </c>
      <c r="B35" s="6">
        <f>+((B29/B34)*B32)/B33</f>
        <v>2.6929679873430507E-2</v>
      </c>
      <c r="C35" s="54"/>
    </row>
    <row r="36" spans="1:3" x14ac:dyDescent="0.2">
      <c r="A36" s="24" t="s">
        <v>208</v>
      </c>
      <c r="B36" s="24"/>
      <c r="C36" s="45">
        <f>+C28*(B30-B33)*B35</f>
        <v>0</v>
      </c>
    </row>
    <row r="37" spans="1:3" x14ac:dyDescent="0.2">
      <c r="C37" s="15"/>
    </row>
    <row r="38" spans="1:3" x14ac:dyDescent="0.2">
      <c r="A38" s="459" t="s">
        <v>107</v>
      </c>
      <c r="B38" s="459"/>
      <c r="C38" s="459"/>
    </row>
    <row r="39" spans="1:3" x14ac:dyDescent="0.2">
      <c r="A39" s="55" t="s">
        <v>30</v>
      </c>
      <c r="B39" s="86"/>
      <c r="C39" s="56">
        <f>+'Vigilante Xerem 12x36 not Arm'!D12</f>
        <v>0</v>
      </c>
    </row>
    <row r="40" spans="1:3" x14ac:dyDescent="0.2">
      <c r="A40" s="55" t="s">
        <v>31</v>
      </c>
      <c r="B40" s="58"/>
      <c r="C40" s="56">
        <f>+'Vigilante Xerem 12x36 not Arm'!D13</f>
        <v>0</v>
      </c>
    </row>
    <row r="41" spans="1:3" x14ac:dyDescent="0.2">
      <c r="A41" s="55" t="s">
        <v>32</v>
      </c>
      <c r="B41" s="58"/>
      <c r="C41" s="56">
        <f>+'Vigilante Xerem 12x36 not Arm'!D14</f>
        <v>0</v>
      </c>
    </row>
    <row r="42" spans="1:3" x14ac:dyDescent="0.2">
      <c r="A42" s="55" t="s">
        <v>33</v>
      </c>
      <c r="B42" s="58"/>
      <c r="C42" s="56">
        <f>+'Vigilante Xerem 12x36 not Arm'!D15</f>
        <v>0</v>
      </c>
    </row>
    <row r="43" spans="1:3" x14ac:dyDescent="0.2">
      <c r="A43" s="55" t="s">
        <v>34</v>
      </c>
      <c r="B43" s="58"/>
      <c r="C43" s="56">
        <f>+'Vigilante Xerem 12x36 not Arm'!D16</f>
        <v>0</v>
      </c>
    </row>
    <row r="44" spans="1:3" x14ac:dyDescent="0.2">
      <c r="A44" s="55" t="s">
        <v>35</v>
      </c>
      <c r="B44" s="58"/>
      <c r="C44" s="56">
        <f>+'Vigilante Xerem 12x36 not Arm'!D17</f>
        <v>0</v>
      </c>
    </row>
    <row r="45" spans="1:3" x14ac:dyDescent="0.2">
      <c r="A45" s="55" t="s">
        <v>65</v>
      </c>
      <c r="B45" s="58"/>
      <c r="C45" s="56">
        <f>+'Vigilante Xerem 12x36 not Arm'!D18</f>
        <v>0</v>
      </c>
    </row>
    <row r="46" spans="1:3" x14ac:dyDescent="0.2">
      <c r="A46" s="35" t="s">
        <v>101</v>
      </c>
      <c r="B46" s="99"/>
      <c r="C46" s="100">
        <f>SUM(C39:C45)</f>
        <v>0</v>
      </c>
    </row>
    <row r="47" spans="1:3" x14ac:dyDescent="0.2">
      <c r="A47" s="6" t="s">
        <v>102</v>
      </c>
      <c r="B47" s="57">
        <f>+B3</f>
        <v>220</v>
      </c>
      <c r="C47" s="58"/>
    </row>
    <row r="48" spans="1:3" x14ac:dyDescent="0.2">
      <c r="A48" s="6" t="s">
        <v>103</v>
      </c>
      <c r="B48" s="58"/>
      <c r="C48" s="59">
        <f>ROUND(+C46/B47,2)</f>
        <v>0</v>
      </c>
    </row>
    <row r="49" spans="1:3" x14ac:dyDescent="0.2">
      <c r="A49" s="6" t="s">
        <v>229</v>
      </c>
      <c r="B49" s="51">
        <f>(365.25/12/2)/(7/7)</f>
        <v>15.21875</v>
      </c>
      <c r="C49" s="58"/>
    </row>
    <row r="50" spans="1:3" x14ac:dyDescent="0.2">
      <c r="A50" s="6" t="s">
        <v>105</v>
      </c>
      <c r="B50" s="17">
        <v>0.5</v>
      </c>
      <c r="C50" s="6"/>
    </row>
    <row r="51" spans="1:3" x14ac:dyDescent="0.2">
      <c r="A51" s="504" t="s">
        <v>106</v>
      </c>
      <c r="B51" s="505"/>
      <c r="C51" s="45">
        <f>ROUND((B49*C48)*(1+B50),2)</f>
        <v>0</v>
      </c>
    </row>
    <row r="53" spans="1:3" x14ac:dyDescent="0.2">
      <c r="A53" s="459" t="s">
        <v>212</v>
      </c>
      <c r="B53" s="459"/>
      <c r="C53" s="459"/>
    </row>
    <row r="54" spans="1:3" x14ac:dyDescent="0.2">
      <c r="A54" s="6" t="s">
        <v>204</v>
      </c>
      <c r="B54" s="6">
        <v>365.25</v>
      </c>
      <c r="C54" s="52"/>
    </row>
    <row r="55" spans="1:3" x14ac:dyDescent="0.2">
      <c r="A55" s="6" t="s">
        <v>206</v>
      </c>
      <c r="B55" s="34">
        <v>12</v>
      </c>
      <c r="C55" s="52"/>
    </row>
    <row r="56" spans="1:3" x14ac:dyDescent="0.2">
      <c r="A56" s="6" t="s">
        <v>213</v>
      </c>
      <c r="B56" s="17">
        <v>0.5</v>
      </c>
      <c r="C56" s="52"/>
    </row>
    <row r="57" spans="1:3" x14ac:dyDescent="0.2">
      <c r="A57" s="103" t="s">
        <v>404</v>
      </c>
      <c r="B57" s="34">
        <v>7</v>
      </c>
      <c r="C57" s="52"/>
    </row>
    <row r="58" spans="1:3" x14ac:dyDescent="0.2">
      <c r="A58" s="34" t="s">
        <v>214</v>
      </c>
      <c r="B58" s="52"/>
      <c r="C58" s="18">
        <f>+'Vigilante Xerem 12x36 not Arm'!D12</f>
        <v>0</v>
      </c>
    </row>
    <row r="59" spans="1:3" x14ac:dyDescent="0.2">
      <c r="A59" s="34" t="s">
        <v>31</v>
      </c>
      <c r="B59" s="52"/>
      <c r="C59" s="18">
        <f>+'Vigilante Xerem 12x36 not Arm'!D13</f>
        <v>0</v>
      </c>
    </row>
    <row r="60" spans="1:3" x14ac:dyDescent="0.2">
      <c r="A60" s="34" t="s">
        <v>32</v>
      </c>
      <c r="B60" s="52"/>
      <c r="C60" s="18">
        <f>+'Vigilante Xerem 12x36 not Arm'!D14</f>
        <v>0</v>
      </c>
    </row>
    <row r="61" spans="1:3" x14ac:dyDescent="0.2">
      <c r="A61" s="104" t="s">
        <v>193</v>
      </c>
      <c r="B61" s="52"/>
      <c r="C61" s="105">
        <f>SUM(C58:C60)</f>
        <v>0</v>
      </c>
    </row>
    <row r="62" spans="1:3" x14ac:dyDescent="0.2">
      <c r="A62" s="6" t="s">
        <v>102</v>
      </c>
      <c r="B62" s="106">
        <f>+B3</f>
        <v>220</v>
      </c>
      <c r="C62" s="52"/>
    </row>
    <row r="63" spans="1:3" x14ac:dyDescent="0.2">
      <c r="A63" s="34" t="s">
        <v>215</v>
      </c>
      <c r="B63" s="17">
        <v>0.2</v>
      </c>
      <c r="C63" s="52"/>
    </row>
    <row r="64" spans="1:3" x14ac:dyDescent="0.2">
      <c r="A64" s="34" t="s">
        <v>216</v>
      </c>
      <c r="B64" s="52"/>
      <c r="C64" s="8">
        <f>ROUND((C61/B62)*B63,2)</f>
        <v>0</v>
      </c>
    </row>
    <row r="65" spans="1:3" x14ac:dyDescent="0.2">
      <c r="A65" s="34" t="s">
        <v>217</v>
      </c>
      <c r="B65" s="6">
        <f>ROUND(+B54/B55*B56*B57,0)</f>
        <v>107</v>
      </c>
      <c r="C65" s="53"/>
    </row>
    <row r="66" spans="1:3" x14ac:dyDescent="0.2">
      <c r="A66" s="506" t="s">
        <v>218</v>
      </c>
      <c r="B66" s="506"/>
      <c r="C66" s="32">
        <f>ROUND(+B65*C64,2)</f>
        <v>0</v>
      </c>
    </row>
    <row r="68" spans="1:3" x14ac:dyDescent="0.2">
      <c r="A68" s="503" t="s">
        <v>232</v>
      </c>
      <c r="B68" s="503"/>
      <c r="C68" s="503"/>
    </row>
    <row r="69" spans="1:3" x14ac:dyDescent="0.2">
      <c r="A69" s="6" t="s">
        <v>103</v>
      </c>
      <c r="B69" s="52"/>
      <c r="C69" s="90">
        <f>+C66</f>
        <v>0</v>
      </c>
    </row>
    <row r="70" spans="1:3" x14ac:dyDescent="0.2">
      <c r="A70" s="6" t="s">
        <v>199</v>
      </c>
      <c r="B70" s="6">
        <v>192</v>
      </c>
      <c r="C70" s="54"/>
    </row>
    <row r="71" spans="1:3" x14ac:dyDescent="0.2">
      <c r="A71" s="6" t="s">
        <v>204</v>
      </c>
      <c r="B71" s="6">
        <f>+$B$4</f>
        <v>365.25</v>
      </c>
      <c r="C71" s="54"/>
    </row>
    <row r="72" spans="1:3" x14ac:dyDescent="0.2">
      <c r="A72" s="6" t="s">
        <v>197</v>
      </c>
      <c r="B72" s="6">
        <v>16</v>
      </c>
      <c r="C72" s="54"/>
    </row>
    <row r="73" spans="1:3" x14ac:dyDescent="0.2">
      <c r="A73" s="6" t="s">
        <v>200</v>
      </c>
      <c r="B73" s="17">
        <v>0.5</v>
      </c>
      <c r="C73" s="54"/>
    </row>
    <row r="74" spans="1:3" x14ac:dyDescent="0.2">
      <c r="A74" s="6" t="s">
        <v>205</v>
      </c>
      <c r="B74" s="92">
        <f>ROUND(((B71/7)*6)-B72,2)</f>
        <v>297.07</v>
      </c>
      <c r="C74" s="54"/>
    </row>
    <row r="75" spans="1:3" x14ac:dyDescent="0.2">
      <c r="A75" s="6" t="s">
        <v>206</v>
      </c>
      <c r="B75" s="34">
        <v>12</v>
      </c>
      <c r="C75" s="54"/>
    </row>
    <row r="76" spans="1:3" ht="25.5" x14ac:dyDescent="0.2">
      <c r="A76" s="30" t="s">
        <v>207</v>
      </c>
      <c r="B76" s="6">
        <f>+((B70/B75)*B73)/B74</f>
        <v>2.6929679873430507E-2</v>
      </c>
      <c r="C76" s="54"/>
    </row>
    <row r="77" spans="1:3" x14ac:dyDescent="0.2">
      <c r="A77" s="24" t="s">
        <v>208</v>
      </c>
      <c r="B77" s="24"/>
      <c r="C77" s="45">
        <f>+C69/B70*(B71-B74)*B76</f>
        <v>0</v>
      </c>
    </row>
    <row r="79" spans="1:3" x14ac:dyDescent="0.2">
      <c r="A79" s="459" t="s">
        <v>219</v>
      </c>
      <c r="B79" s="459"/>
      <c r="C79" s="459"/>
    </row>
    <row r="80" spans="1:3" x14ac:dyDescent="0.2">
      <c r="A80" s="6" t="s">
        <v>204</v>
      </c>
      <c r="B80" s="6">
        <f>+$B$4</f>
        <v>365.25</v>
      </c>
      <c r="C80" s="52"/>
    </row>
    <row r="81" spans="1:4" x14ac:dyDescent="0.2">
      <c r="A81" s="6" t="s">
        <v>206</v>
      </c>
      <c r="B81" s="34">
        <v>12</v>
      </c>
      <c r="C81" s="52"/>
    </row>
    <row r="82" spans="1:4" x14ac:dyDescent="0.2">
      <c r="A82" s="6" t="s">
        <v>213</v>
      </c>
      <c r="B82" s="17">
        <v>0.5</v>
      </c>
      <c r="C82" s="52"/>
      <c r="D82" s="109"/>
    </row>
    <row r="83" spans="1:4" x14ac:dyDescent="0.2">
      <c r="A83" s="103" t="s">
        <v>404</v>
      </c>
      <c r="B83" s="34">
        <v>7</v>
      </c>
      <c r="C83" s="52"/>
      <c r="D83" s="109"/>
    </row>
    <row r="84" spans="1:4" x14ac:dyDescent="0.2">
      <c r="A84" s="34" t="s">
        <v>220</v>
      </c>
      <c r="B84" s="51">
        <f>(365.25/12/2)/(7/7)</f>
        <v>15.21875</v>
      </c>
      <c r="C84" s="6"/>
      <c r="D84" s="109"/>
    </row>
    <row r="85" spans="1:4" x14ac:dyDescent="0.2">
      <c r="A85" s="34" t="s">
        <v>221</v>
      </c>
      <c r="B85" s="6">
        <f>ROUND(+B84*B83,2)</f>
        <v>106.53</v>
      </c>
      <c r="C85" s="6"/>
    </row>
    <row r="86" spans="1:4" x14ac:dyDescent="0.2">
      <c r="A86" s="34" t="s">
        <v>214</v>
      </c>
      <c r="B86" s="52"/>
      <c r="C86" s="18">
        <f>+'Vigilante Xerem 12x36 not Arm'!$D$10</f>
        <v>0</v>
      </c>
    </row>
    <row r="87" spans="1:4" x14ac:dyDescent="0.2">
      <c r="A87" s="34" t="s">
        <v>31</v>
      </c>
      <c r="B87" s="52"/>
      <c r="C87" s="18" t="str">
        <f>+'Vigilante Xerem 12x36 not Arm'!$D$11</f>
        <v>Valor (R$)</v>
      </c>
    </row>
    <row r="88" spans="1:4" x14ac:dyDescent="0.2">
      <c r="A88" s="34" t="s">
        <v>32</v>
      </c>
      <c r="B88" s="52"/>
      <c r="C88" s="18">
        <f>+'Vigilante Xerem 12x36 not Arm'!$D$12</f>
        <v>0</v>
      </c>
    </row>
    <row r="89" spans="1:4" x14ac:dyDescent="0.2">
      <c r="A89" s="104" t="s">
        <v>193</v>
      </c>
      <c r="B89" s="52"/>
      <c r="C89" s="105">
        <f>SUM(C86:C88)</f>
        <v>0</v>
      </c>
      <c r="D89" s="88"/>
    </row>
    <row r="90" spans="1:4" x14ac:dyDescent="0.2">
      <c r="A90" s="6" t="s">
        <v>102</v>
      </c>
      <c r="B90" s="106">
        <f>+B3</f>
        <v>220</v>
      </c>
      <c r="C90" s="52"/>
    </row>
    <row r="91" spans="1:4" x14ac:dyDescent="0.2">
      <c r="A91" s="34" t="s">
        <v>215</v>
      </c>
      <c r="B91" s="17">
        <v>0.2</v>
      </c>
      <c r="C91" s="52"/>
    </row>
    <row r="92" spans="1:4" x14ac:dyDescent="0.2">
      <c r="A92" s="34" t="s">
        <v>216</v>
      </c>
      <c r="B92" s="52"/>
      <c r="C92" s="8">
        <f>ROUND((C89/B90)*B91,2)</f>
        <v>0</v>
      </c>
    </row>
    <row r="93" spans="1:4" x14ac:dyDescent="0.2">
      <c r="A93" s="34" t="s">
        <v>223</v>
      </c>
      <c r="B93" s="6">
        <v>60</v>
      </c>
      <c r="C93" s="52"/>
    </row>
    <row r="94" spans="1:4" x14ac:dyDescent="0.2">
      <c r="A94" s="34" t="s">
        <v>222</v>
      </c>
      <c r="B94" s="6">
        <v>52.5</v>
      </c>
      <c r="C94" s="52"/>
    </row>
    <row r="95" spans="1:4" x14ac:dyDescent="0.2">
      <c r="A95" s="34" t="s">
        <v>224</v>
      </c>
      <c r="B95" s="6">
        <f>+B93/B94</f>
        <v>1.1428571428571428</v>
      </c>
      <c r="C95" s="52"/>
    </row>
    <row r="96" spans="1:4" x14ac:dyDescent="0.2">
      <c r="A96" s="34" t="s">
        <v>225</v>
      </c>
      <c r="B96" s="6">
        <f>ROUND(+B95*B85,2)</f>
        <v>121.75</v>
      </c>
      <c r="C96" s="52"/>
    </row>
    <row r="97" spans="1:3" x14ac:dyDescent="0.2">
      <c r="A97" s="34" t="s">
        <v>226</v>
      </c>
      <c r="B97" s="6">
        <f>ROUND(B96-B85,2)</f>
        <v>15.22</v>
      </c>
      <c r="C97" s="53"/>
    </row>
    <row r="98" spans="1:3" x14ac:dyDescent="0.2">
      <c r="A98" s="494" t="s">
        <v>227</v>
      </c>
      <c r="B98" s="494"/>
      <c r="C98" s="71">
        <f>+B97*C92</f>
        <v>0</v>
      </c>
    </row>
    <row r="100" spans="1:3" x14ac:dyDescent="0.2">
      <c r="A100" s="459" t="s">
        <v>233</v>
      </c>
      <c r="B100" s="459"/>
      <c r="C100" s="459"/>
    </row>
    <row r="101" spans="1:3" x14ac:dyDescent="0.2">
      <c r="A101" s="6" t="s">
        <v>204</v>
      </c>
      <c r="B101" s="6">
        <f>+$B$4</f>
        <v>365.25</v>
      </c>
      <c r="C101" s="52"/>
    </row>
    <row r="102" spans="1:3" x14ac:dyDescent="0.2">
      <c r="A102" s="6" t="s">
        <v>206</v>
      </c>
      <c r="B102" s="34">
        <v>12</v>
      </c>
      <c r="C102" s="52"/>
    </row>
    <row r="103" spans="1:3" x14ac:dyDescent="0.2">
      <c r="A103" s="6" t="s">
        <v>213</v>
      </c>
      <c r="B103" s="17">
        <v>0.5</v>
      </c>
      <c r="C103" s="52"/>
    </row>
    <row r="104" spans="1:3" x14ac:dyDescent="0.2">
      <c r="A104" s="34" t="s">
        <v>234</v>
      </c>
      <c r="B104" s="6">
        <f>ROUND((B101/B102)*B103,2)</f>
        <v>15.22</v>
      </c>
      <c r="C104" s="52"/>
    </row>
    <row r="105" spans="1:3" x14ac:dyDescent="0.2">
      <c r="A105" s="205" t="s">
        <v>235</v>
      </c>
      <c r="B105" s="206"/>
      <c r="C105" s="52"/>
    </row>
    <row r="106" spans="1:3" x14ac:dyDescent="0.2">
      <c r="A106" s="34" t="s">
        <v>236</v>
      </c>
      <c r="B106" s="29">
        <v>0.06</v>
      </c>
      <c r="C106" s="52"/>
    </row>
    <row r="107" spans="1:3" x14ac:dyDescent="0.2">
      <c r="A107" s="504" t="s">
        <v>237</v>
      </c>
      <c r="B107" s="505"/>
      <c r="C107" s="45">
        <f>ROUND((B104*(B105*2)-($B$6*B106)),2)</f>
        <v>0</v>
      </c>
    </row>
    <row r="109" spans="1:3" x14ac:dyDescent="0.2">
      <c r="A109" s="459" t="s">
        <v>238</v>
      </c>
      <c r="B109" s="459"/>
      <c r="C109" s="459"/>
    </row>
    <row r="110" spans="1:3" x14ac:dyDescent="0.2">
      <c r="A110" s="6" t="s">
        <v>204</v>
      </c>
      <c r="B110" s="6">
        <f>+$B$4</f>
        <v>365.25</v>
      </c>
      <c r="C110" s="52"/>
    </row>
    <row r="111" spans="1:3" x14ac:dyDescent="0.2">
      <c r="A111" s="6" t="s">
        <v>206</v>
      </c>
      <c r="B111" s="34">
        <v>12</v>
      </c>
      <c r="C111" s="52"/>
    </row>
    <row r="112" spans="1:3" x14ac:dyDescent="0.2">
      <c r="A112" s="6" t="s">
        <v>213</v>
      </c>
      <c r="B112" s="17">
        <v>0.5</v>
      </c>
      <c r="C112" s="52"/>
    </row>
    <row r="113" spans="1:3" x14ac:dyDescent="0.2">
      <c r="A113" s="34" t="s">
        <v>234</v>
      </c>
      <c r="B113" s="6">
        <f>ROUND((B110/B111)*B112,2)</f>
        <v>15.22</v>
      </c>
      <c r="C113" s="52"/>
    </row>
    <row r="114" spans="1:3" x14ac:dyDescent="0.2">
      <c r="A114" s="205" t="s">
        <v>239</v>
      </c>
      <c r="B114" s="206"/>
      <c r="C114" s="52"/>
    </row>
    <row r="115" spans="1:3" x14ac:dyDescent="0.2">
      <c r="A115" s="34" t="s">
        <v>366</v>
      </c>
      <c r="B115" s="29">
        <v>0.2</v>
      </c>
      <c r="C115" s="52"/>
    </row>
    <row r="116" spans="1:3" x14ac:dyDescent="0.2">
      <c r="A116" s="504" t="s">
        <v>239</v>
      </c>
      <c r="B116" s="505"/>
      <c r="C116" s="45">
        <f>ROUND((B113*(B114)-((B113*B114)*B115)),2)</f>
        <v>0</v>
      </c>
    </row>
    <row r="118" spans="1:3" x14ac:dyDescent="0.2">
      <c r="A118" s="459" t="s">
        <v>240</v>
      </c>
      <c r="B118" s="459"/>
      <c r="C118" s="459"/>
    </row>
    <row r="119" spans="1:3" x14ac:dyDescent="0.2">
      <c r="A119" s="6" t="s">
        <v>242</v>
      </c>
      <c r="B119" s="18">
        <f>+B7</f>
        <v>0</v>
      </c>
      <c r="C119" s="52"/>
    </row>
    <row r="120" spans="1:3" x14ac:dyDescent="0.2">
      <c r="A120" s="6" t="s">
        <v>243</v>
      </c>
      <c r="B120" s="6">
        <v>12</v>
      </c>
      <c r="C120" s="52"/>
    </row>
    <row r="121" spans="1:3" x14ac:dyDescent="0.2">
      <c r="A121" s="116" t="s">
        <v>244</v>
      </c>
      <c r="B121" s="114"/>
      <c r="C121" s="52"/>
    </row>
    <row r="122" spans="1:3" x14ac:dyDescent="0.2">
      <c r="A122" s="494" t="s">
        <v>245</v>
      </c>
      <c r="B122" s="494"/>
      <c r="C122" s="45">
        <f>ROUND(+(B119/B120)*B121,2)</f>
        <v>0</v>
      </c>
    </row>
    <row r="124" spans="1:3" x14ac:dyDescent="0.2">
      <c r="A124" s="507" t="s">
        <v>246</v>
      </c>
      <c r="B124" s="508"/>
      <c r="C124" s="509"/>
    </row>
    <row r="125" spans="1:3" s="60" customFormat="1" x14ac:dyDescent="0.2">
      <c r="A125" s="117" t="s">
        <v>251</v>
      </c>
      <c r="B125" s="114">
        <f>+B121</f>
        <v>0</v>
      </c>
      <c r="C125" s="52"/>
    </row>
    <row r="126" spans="1:3" x14ac:dyDescent="0.2">
      <c r="A126" s="6" t="s">
        <v>247</v>
      </c>
      <c r="B126" s="18">
        <f>+'Vigilante Xerem 12x36 not Arm'!$D$21</f>
        <v>0</v>
      </c>
      <c r="C126" s="52"/>
    </row>
    <row r="127" spans="1:3" x14ac:dyDescent="0.2">
      <c r="A127" s="6" t="s">
        <v>46</v>
      </c>
      <c r="B127" s="18">
        <f>+'Vigilante Xerem 12x36 not Arm'!$D$27</f>
        <v>0</v>
      </c>
      <c r="C127" s="52"/>
    </row>
    <row r="128" spans="1:3" x14ac:dyDescent="0.2">
      <c r="A128" s="111" t="s">
        <v>45</v>
      </c>
      <c r="B128" s="18">
        <f>+'Vigilante Xerem 12x36 not Arm'!$D$29</f>
        <v>0</v>
      </c>
      <c r="C128" s="52"/>
    </row>
    <row r="129" spans="1:3" x14ac:dyDescent="0.2">
      <c r="A129" s="111" t="s">
        <v>44</v>
      </c>
      <c r="B129" s="18">
        <f>+'Vigilante Xerem 12x36 not Arm'!$D$30</f>
        <v>0</v>
      </c>
      <c r="C129" s="52"/>
    </row>
    <row r="130" spans="1:3" x14ac:dyDescent="0.2">
      <c r="A130" s="104" t="s">
        <v>248</v>
      </c>
      <c r="B130" s="105">
        <f>SUM(B126:B129)</f>
        <v>0</v>
      </c>
      <c r="C130" s="52"/>
    </row>
    <row r="131" spans="1:3" x14ac:dyDescent="0.2">
      <c r="A131" s="25" t="s">
        <v>249</v>
      </c>
      <c r="B131" s="17">
        <v>0.4</v>
      </c>
      <c r="C131" s="52"/>
    </row>
    <row r="132" spans="1:3" x14ac:dyDescent="0.2">
      <c r="A132" s="25" t="s">
        <v>250</v>
      </c>
      <c r="B132" s="17">
        <f>+'Vigilante Xerem 12x36 not Arm'!$C$42</f>
        <v>6.0000000000000001E-3</v>
      </c>
      <c r="C132" s="52"/>
    </row>
    <row r="133" spans="1:3" x14ac:dyDescent="0.2">
      <c r="A133" s="510" t="s">
        <v>252</v>
      </c>
      <c r="B133" s="510"/>
      <c r="C133" s="73">
        <f>ROUND(+B130*B131*B132*B125,2)</f>
        <v>0</v>
      </c>
    </row>
    <row r="134" spans="1:3" x14ac:dyDescent="0.2">
      <c r="A134" s="25" t="s">
        <v>253</v>
      </c>
      <c r="B134" s="17">
        <v>0.1</v>
      </c>
      <c r="C134" s="52"/>
    </row>
    <row r="135" spans="1:3" x14ac:dyDescent="0.2">
      <c r="A135" s="510" t="s">
        <v>254</v>
      </c>
      <c r="B135" s="510"/>
      <c r="C135" s="112">
        <f>ROUND(B134*B132*B130*B125,2)</f>
        <v>0</v>
      </c>
    </row>
    <row r="136" spans="1:3" x14ac:dyDescent="0.2">
      <c r="A136" s="504" t="s">
        <v>255</v>
      </c>
      <c r="B136" s="505"/>
      <c r="C136" s="71">
        <f>+C135+C133</f>
        <v>0</v>
      </c>
    </row>
    <row r="138" spans="1:3" x14ac:dyDescent="0.2">
      <c r="A138" s="459" t="s">
        <v>256</v>
      </c>
      <c r="B138" s="459"/>
      <c r="C138" s="459"/>
    </row>
    <row r="139" spans="1:3" x14ac:dyDescent="0.2">
      <c r="A139" s="6" t="s">
        <v>242</v>
      </c>
      <c r="B139" s="18">
        <f>+B7</f>
        <v>0</v>
      </c>
      <c r="C139" s="52"/>
    </row>
    <row r="140" spans="1:3" x14ac:dyDescent="0.2">
      <c r="A140" s="6" t="s">
        <v>257</v>
      </c>
      <c r="B140" s="113">
        <v>30</v>
      </c>
      <c r="C140" s="52"/>
    </row>
    <row r="141" spans="1:3" x14ac:dyDescent="0.2">
      <c r="A141" s="6" t="s">
        <v>243</v>
      </c>
      <c r="B141" s="6">
        <v>12</v>
      </c>
      <c r="C141" s="52"/>
    </row>
    <row r="142" spans="1:3" x14ac:dyDescent="0.2">
      <c r="A142" s="6" t="s">
        <v>258</v>
      </c>
      <c r="B142" s="6">
        <v>7</v>
      </c>
      <c r="C142" s="52"/>
    </row>
    <row r="143" spans="1:3" x14ac:dyDescent="0.2">
      <c r="A143" s="116" t="s">
        <v>294</v>
      </c>
      <c r="B143" s="114"/>
      <c r="C143" s="52"/>
    </row>
    <row r="144" spans="1:3" x14ac:dyDescent="0.2">
      <c r="A144" s="494" t="s">
        <v>369</v>
      </c>
      <c r="B144" s="494"/>
      <c r="C144" s="45">
        <f>+ROUND(((B139/B140/B141)*B142)*B143,2)</f>
        <v>0</v>
      </c>
    </row>
    <row r="146" spans="1:3" x14ac:dyDescent="0.2">
      <c r="A146" s="507" t="s">
        <v>259</v>
      </c>
      <c r="B146" s="508"/>
      <c r="C146" s="509"/>
    </row>
    <row r="147" spans="1:3" x14ac:dyDescent="0.2">
      <c r="A147" s="115" t="s">
        <v>260</v>
      </c>
      <c r="B147" s="114">
        <f>+B143</f>
        <v>0</v>
      </c>
      <c r="C147" s="52"/>
    </row>
    <row r="148" spans="1:3" x14ac:dyDescent="0.2">
      <c r="A148" s="6" t="s">
        <v>247</v>
      </c>
      <c r="B148" s="18">
        <f>+'Vigilante Xerem 12x36 not Arm'!$D$21</f>
        <v>0</v>
      </c>
      <c r="C148" s="52"/>
    </row>
    <row r="149" spans="1:3" x14ac:dyDescent="0.2">
      <c r="A149" s="6" t="s">
        <v>46</v>
      </c>
      <c r="B149" s="18">
        <f>+'Vigilante Xerem 12x36 not Arm'!$D$27</f>
        <v>0</v>
      </c>
      <c r="C149" s="52"/>
    </row>
    <row r="150" spans="1:3" x14ac:dyDescent="0.2">
      <c r="A150" s="111" t="s">
        <v>45</v>
      </c>
      <c r="B150" s="18">
        <f>+'Vigilante Xerem 12x36 not Arm'!$D$29</f>
        <v>0</v>
      </c>
      <c r="C150" s="52"/>
    </row>
    <row r="151" spans="1:3" x14ac:dyDescent="0.2">
      <c r="A151" s="111" t="s">
        <v>44</v>
      </c>
      <c r="B151" s="18">
        <f>+'Vigilante Xerem 12x36 not Arm'!$D$30</f>
        <v>0</v>
      </c>
      <c r="C151" s="52"/>
    </row>
    <row r="152" spans="1:3" x14ac:dyDescent="0.2">
      <c r="A152" s="104" t="s">
        <v>248</v>
      </c>
      <c r="B152" s="105">
        <f>SUM(B148:B151)</f>
        <v>0</v>
      </c>
      <c r="C152" s="52"/>
    </row>
    <row r="153" spans="1:3" x14ac:dyDescent="0.2">
      <c r="A153" s="25" t="s">
        <v>249</v>
      </c>
      <c r="B153" s="17">
        <v>0.4</v>
      </c>
      <c r="C153" s="52"/>
    </row>
    <row r="154" spans="1:3" x14ac:dyDescent="0.2">
      <c r="A154" s="25" t="s">
        <v>250</v>
      </c>
      <c r="B154" s="17">
        <f>+'Vigilante Xerem 12x36 not Arm'!$C$42</f>
        <v>6.0000000000000001E-3</v>
      </c>
      <c r="C154" s="52"/>
    </row>
    <row r="155" spans="1:3" x14ac:dyDescent="0.2">
      <c r="A155" s="510" t="s">
        <v>252</v>
      </c>
      <c r="B155" s="510"/>
      <c r="C155" s="73">
        <f>ROUND(+B152*B153*B154*B147,2)</f>
        <v>0</v>
      </c>
    </row>
    <row r="156" spans="1:3" x14ac:dyDescent="0.2">
      <c r="A156" s="25" t="s">
        <v>253</v>
      </c>
      <c r="B156" s="17">
        <v>0.1</v>
      </c>
      <c r="C156" s="52"/>
    </row>
    <row r="157" spans="1:3" x14ac:dyDescent="0.2">
      <c r="A157" s="510" t="s">
        <v>254</v>
      </c>
      <c r="B157" s="510"/>
      <c r="C157" s="112">
        <f>ROUND(B156*B154*B152*B147,2)</f>
        <v>0</v>
      </c>
    </row>
    <row r="158" spans="1:3" x14ac:dyDescent="0.2">
      <c r="A158" s="504" t="s">
        <v>385</v>
      </c>
      <c r="B158" s="505"/>
      <c r="C158" s="71">
        <f>+C157+C155</f>
        <v>0</v>
      </c>
    </row>
    <row r="160" spans="1:3" x14ac:dyDescent="0.2">
      <c r="A160" s="507" t="s">
        <v>262</v>
      </c>
      <c r="B160" s="508"/>
      <c r="C160" s="509"/>
    </row>
    <row r="161" spans="1:3" x14ac:dyDescent="0.2">
      <c r="A161" s="511" t="s">
        <v>358</v>
      </c>
      <c r="B161" s="511"/>
      <c r="C161" s="511"/>
    </row>
    <row r="162" spans="1:3" x14ac:dyDescent="0.2">
      <c r="A162" s="511"/>
      <c r="B162" s="511"/>
      <c r="C162" s="511"/>
    </row>
    <row r="163" spans="1:3" x14ac:dyDescent="0.2">
      <c r="A163" s="511"/>
      <c r="B163" s="511"/>
      <c r="C163" s="511"/>
    </row>
    <row r="164" spans="1:3" x14ac:dyDescent="0.2">
      <c r="A164" s="511"/>
      <c r="B164" s="511"/>
      <c r="C164" s="511"/>
    </row>
    <row r="165" spans="1:3" x14ac:dyDescent="0.2">
      <c r="A165" s="119"/>
      <c r="B165" s="119"/>
      <c r="C165" s="119"/>
    </row>
    <row r="166" spans="1:3" x14ac:dyDescent="0.2">
      <c r="A166" s="512" t="s">
        <v>261</v>
      </c>
      <c r="B166" s="512"/>
      <c r="C166" s="512"/>
    </row>
    <row r="167" spans="1:3" x14ac:dyDescent="0.2">
      <c r="A167" s="6" t="s">
        <v>263</v>
      </c>
      <c r="B167" s="18">
        <f>+$B$7</f>
        <v>0</v>
      </c>
      <c r="C167" s="52"/>
    </row>
    <row r="168" spans="1:3" x14ac:dyDescent="0.2">
      <c r="A168" s="6" t="s">
        <v>206</v>
      </c>
      <c r="B168" s="6">
        <v>30</v>
      </c>
      <c r="C168" s="52"/>
    </row>
    <row r="169" spans="1:3" x14ac:dyDescent="0.2">
      <c r="A169" s="6" t="s">
        <v>264</v>
      </c>
      <c r="B169" s="6">
        <v>12</v>
      </c>
      <c r="C169" s="52"/>
    </row>
    <row r="170" spans="1:3" x14ac:dyDescent="0.2">
      <c r="A170" s="116" t="s">
        <v>265</v>
      </c>
      <c r="B170" s="116"/>
      <c r="C170" s="52"/>
    </row>
    <row r="171" spans="1:3" x14ac:dyDescent="0.2">
      <c r="A171" s="494" t="s">
        <v>266</v>
      </c>
      <c r="B171" s="494"/>
      <c r="C171" s="24">
        <f>+ROUND((B167/B168/B169)*B170,2)</f>
        <v>0</v>
      </c>
    </row>
    <row r="173" spans="1:3" x14ac:dyDescent="0.2">
      <c r="A173" s="512" t="s">
        <v>269</v>
      </c>
      <c r="B173" s="512"/>
      <c r="C173" s="512"/>
    </row>
    <row r="174" spans="1:3" x14ac:dyDescent="0.2">
      <c r="A174" s="6" t="s">
        <v>263</v>
      </c>
      <c r="B174" s="18">
        <f>+$B$7</f>
        <v>0</v>
      </c>
      <c r="C174" s="52"/>
    </row>
    <row r="175" spans="1:3" x14ac:dyDescent="0.2">
      <c r="A175" s="6" t="s">
        <v>206</v>
      </c>
      <c r="B175" s="6">
        <v>30</v>
      </c>
      <c r="C175" s="52"/>
    </row>
    <row r="176" spans="1:3" x14ac:dyDescent="0.2">
      <c r="A176" s="6" t="s">
        <v>264</v>
      </c>
      <c r="B176" s="6">
        <v>12</v>
      </c>
      <c r="C176" s="52"/>
    </row>
    <row r="177" spans="1:3" x14ac:dyDescent="0.2">
      <c r="A177" s="34" t="s">
        <v>267</v>
      </c>
      <c r="B177" s="6">
        <v>5</v>
      </c>
      <c r="C177" s="52"/>
    </row>
    <row r="178" spans="1:3" x14ac:dyDescent="0.2">
      <c r="A178" s="116" t="s">
        <v>268</v>
      </c>
      <c r="B178" s="114"/>
      <c r="C178" s="52"/>
    </row>
    <row r="179" spans="1:3" x14ac:dyDescent="0.2">
      <c r="A179" s="116" t="s">
        <v>270</v>
      </c>
      <c r="B179" s="114"/>
      <c r="C179" s="52"/>
    </row>
    <row r="180" spans="1:3" x14ac:dyDescent="0.2">
      <c r="A180" s="494" t="s">
        <v>271</v>
      </c>
      <c r="B180" s="494"/>
      <c r="C180" s="45">
        <f>ROUND(+B174/B175/B176*B177*B178*B179,2)</f>
        <v>0</v>
      </c>
    </row>
    <row r="182" spans="1:3" x14ac:dyDescent="0.2">
      <c r="A182" s="512" t="s">
        <v>272</v>
      </c>
      <c r="B182" s="512"/>
      <c r="C182" s="512"/>
    </row>
    <row r="183" spans="1:3" x14ac:dyDescent="0.2">
      <c r="A183" s="6" t="s">
        <v>263</v>
      </c>
      <c r="B183" s="18">
        <f>+$B$7</f>
        <v>0</v>
      </c>
      <c r="C183" s="52"/>
    </row>
    <row r="184" spans="1:3" x14ac:dyDescent="0.2">
      <c r="A184" s="6" t="s">
        <v>206</v>
      </c>
      <c r="B184" s="6">
        <v>30</v>
      </c>
      <c r="C184" s="52"/>
    </row>
    <row r="185" spans="1:3" x14ac:dyDescent="0.2">
      <c r="A185" s="6" t="s">
        <v>264</v>
      </c>
      <c r="B185" s="6">
        <v>12</v>
      </c>
      <c r="C185" s="52"/>
    </row>
    <row r="186" spans="1:3" x14ac:dyDescent="0.2">
      <c r="A186" s="34" t="s">
        <v>273</v>
      </c>
      <c r="B186" s="6">
        <v>15</v>
      </c>
      <c r="C186" s="52"/>
    </row>
    <row r="187" spans="1:3" x14ac:dyDescent="0.2">
      <c r="A187" s="116" t="s">
        <v>274</v>
      </c>
      <c r="B187" s="114"/>
      <c r="C187" s="52"/>
    </row>
    <row r="188" spans="1:3" x14ac:dyDescent="0.2">
      <c r="A188" s="494" t="s">
        <v>370</v>
      </c>
      <c r="B188" s="494"/>
      <c r="C188" s="45">
        <f>ROUND(+B183/B184/B185*B186*B187,2)</f>
        <v>0</v>
      </c>
    </row>
    <row r="190" spans="1:3" x14ac:dyDescent="0.2">
      <c r="A190" s="512" t="s">
        <v>275</v>
      </c>
      <c r="B190" s="512"/>
      <c r="C190" s="512"/>
    </row>
    <row r="191" spans="1:3" x14ac:dyDescent="0.2">
      <c r="A191" s="6" t="s">
        <v>263</v>
      </c>
      <c r="B191" s="18">
        <f>+$B$7</f>
        <v>0</v>
      </c>
      <c r="C191" s="52"/>
    </row>
    <row r="192" spans="1:3" x14ac:dyDescent="0.2">
      <c r="A192" s="6" t="s">
        <v>206</v>
      </c>
      <c r="B192" s="6">
        <v>30</v>
      </c>
      <c r="C192" s="52"/>
    </row>
    <row r="193" spans="1:3" x14ac:dyDescent="0.2">
      <c r="A193" s="6" t="s">
        <v>264</v>
      </c>
      <c r="B193" s="6">
        <v>12</v>
      </c>
      <c r="C193" s="52"/>
    </row>
    <row r="194" spans="1:3" x14ac:dyDescent="0.2">
      <c r="A194" s="34" t="s">
        <v>273</v>
      </c>
      <c r="B194" s="6">
        <v>5</v>
      </c>
      <c r="C194" s="52"/>
    </row>
    <row r="195" spans="1:3" x14ac:dyDescent="0.2">
      <c r="A195" s="116" t="s">
        <v>276</v>
      </c>
      <c r="B195" s="114"/>
      <c r="C195" s="52"/>
    </row>
    <row r="196" spans="1:3" x14ac:dyDescent="0.2">
      <c r="A196" s="494" t="s">
        <v>371</v>
      </c>
      <c r="B196" s="494"/>
      <c r="C196" s="45">
        <f>ROUND(+B191/B192/B193*B194*B195,2)</f>
        <v>0</v>
      </c>
    </row>
    <row r="198" spans="1:3" x14ac:dyDescent="0.2">
      <c r="A198" s="459" t="s">
        <v>108</v>
      </c>
      <c r="B198" s="459"/>
      <c r="C198" s="459"/>
    </row>
    <row r="199" spans="1:3" x14ac:dyDescent="0.2">
      <c r="A199" s="83" t="s">
        <v>23</v>
      </c>
      <c r="B199" s="87"/>
      <c r="C199" s="18">
        <f>+'Vigilante Xerem 12x36 not Arm'!D21-'Vigilante Xerem 12x36 not Arm'!D19</f>
        <v>0</v>
      </c>
    </row>
    <row r="200" spans="1:3" x14ac:dyDescent="0.2">
      <c r="A200" s="83" t="s">
        <v>68</v>
      </c>
      <c r="B200" s="87"/>
      <c r="C200" s="18">
        <f>+'Vigilante Xerem 12x36 not Arm'!D66</f>
        <v>0</v>
      </c>
    </row>
    <row r="201" spans="1:3" x14ac:dyDescent="0.2">
      <c r="A201" s="83" t="s">
        <v>153</v>
      </c>
      <c r="B201" s="87"/>
      <c r="C201" s="18">
        <f>+'Vigilante Xerem 12x36 not Arm'!D114</f>
        <v>0</v>
      </c>
    </row>
    <row r="202" spans="1:3" x14ac:dyDescent="0.2">
      <c r="A202" s="83" t="s">
        <v>86</v>
      </c>
      <c r="B202" s="87"/>
      <c r="C202" s="18">
        <f>+'Vigilante Xerem 12x36 not Arm'!D105</f>
        <v>0</v>
      </c>
    </row>
    <row r="203" spans="1:3" x14ac:dyDescent="0.2">
      <c r="A203" s="83" t="s">
        <v>92</v>
      </c>
      <c r="B203" s="87"/>
      <c r="C203" s="18">
        <f>+'Vigilante Xerem 12x36 not Arm'!D106</f>
        <v>0</v>
      </c>
    </row>
    <row r="204" spans="1:3" x14ac:dyDescent="0.2">
      <c r="A204" s="83" t="s">
        <v>70</v>
      </c>
      <c r="B204" s="87"/>
      <c r="C204" s="18">
        <f>+'Vigilante Xerem 12x36 not Arm'!D77</f>
        <v>0</v>
      </c>
    </row>
    <row r="205" spans="1:3" x14ac:dyDescent="0.2">
      <c r="A205" s="83" t="s">
        <v>193</v>
      </c>
      <c r="B205" s="87"/>
      <c r="C205" s="18">
        <f>SUM(C199:C204)</f>
        <v>0</v>
      </c>
    </row>
    <row r="206" spans="1:3" x14ac:dyDescent="0.2">
      <c r="A206" s="83" t="s">
        <v>102</v>
      </c>
      <c r="B206" s="84">
        <v>220</v>
      </c>
      <c r="C206" s="85"/>
    </row>
    <row r="207" spans="1:3" x14ac:dyDescent="0.2">
      <c r="A207" s="83" t="s">
        <v>103</v>
      </c>
      <c r="B207" s="87"/>
      <c r="C207" s="18">
        <f>ROUND(C205/B206,2)</f>
        <v>0</v>
      </c>
    </row>
    <row r="208" spans="1:3" x14ac:dyDescent="0.2">
      <c r="A208" s="6" t="s">
        <v>104</v>
      </c>
      <c r="B208" s="51">
        <f>(365.25/12/2)/(7/7)</f>
        <v>15.21875</v>
      </c>
      <c r="C208" s="58"/>
    </row>
    <row r="209" spans="1:3" x14ac:dyDescent="0.2">
      <c r="A209" s="504" t="s">
        <v>106</v>
      </c>
      <c r="B209" s="505"/>
      <c r="C209" s="71">
        <f>ROUND(+B208*C207,2)</f>
        <v>0</v>
      </c>
    </row>
    <row r="211" spans="1:3" x14ac:dyDescent="0.2">
      <c r="A211" s="512" t="s">
        <v>277</v>
      </c>
      <c r="B211" s="512"/>
      <c r="C211" s="512"/>
    </row>
    <row r="212" spans="1:3" x14ac:dyDescent="0.2">
      <c r="A212" s="513" t="s">
        <v>282</v>
      </c>
      <c r="B212" s="514"/>
      <c r="C212" s="515"/>
    </row>
    <row r="213" spans="1:3" x14ac:dyDescent="0.2">
      <c r="A213" s="6" t="s">
        <v>263</v>
      </c>
      <c r="B213" s="18">
        <f>+$B$7</f>
        <v>0</v>
      </c>
      <c r="C213" s="52"/>
    </row>
    <row r="214" spans="1:3" x14ac:dyDescent="0.2">
      <c r="A214" s="6" t="s">
        <v>281</v>
      </c>
      <c r="B214" s="18">
        <f>+B213*(1/3)</f>
        <v>0</v>
      </c>
      <c r="C214" s="52"/>
    </row>
    <row r="215" spans="1:3" x14ac:dyDescent="0.2">
      <c r="A215" s="104" t="s">
        <v>248</v>
      </c>
      <c r="B215" s="105">
        <f>SUM(B213:B214)</f>
        <v>0</v>
      </c>
      <c r="C215" s="52"/>
    </row>
    <row r="216" spans="1:3" x14ac:dyDescent="0.2">
      <c r="A216" s="6" t="s">
        <v>278</v>
      </c>
      <c r="B216" s="6">
        <v>4</v>
      </c>
      <c r="C216" s="52"/>
    </row>
    <row r="217" spans="1:3" x14ac:dyDescent="0.2">
      <c r="A217" s="6" t="s">
        <v>264</v>
      </c>
      <c r="B217" s="6">
        <v>12</v>
      </c>
      <c r="C217" s="52"/>
    </row>
    <row r="218" spans="1:3" x14ac:dyDescent="0.2">
      <c r="A218" s="116" t="s">
        <v>279</v>
      </c>
      <c r="B218" s="114"/>
      <c r="C218" s="52"/>
    </row>
    <row r="219" spans="1:3" x14ac:dyDescent="0.2">
      <c r="A219" s="116" t="s">
        <v>280</v>
      </c>
      <c r="B219" s="114"/>
      <c r="C219" s="52"/>
    </row>
    <row r="220" spans="1:3" x14ac:dyDescent="0.2">
      <c r="A220" s="494" t="s">
        <v>283</v>
      </c>
      <c r="B220" s="494"/>
      <c r="C220" s="45">
        <f>ROUND((((+B215*(B216/B217)/B217)*B218)*B219),2)</f>
        <v>0</v>
      </c>
    </row>
    <row r="221" spans="1:3" x14ac:dyDescent="0.2">
      <c r="A221" s="494" t="s">
        <v>284</v>
      </c>
      <c r="B221" s="494"/>
      <c r="C221" s="494"/>
    </row>
    <row r="222" spans="1:3" x14ac:dyDescent="0.2">
      <c r="A222" s="6" t="s">
        <v>263</v>
      </c>
      <c r="B222" s="18">
        <f>+'Vigilante Xerem 12x36 not Arm'!D21</f>
        <v>0</v>
      </c>
      <c r="C222" s="52"/>
    </row>
    <row r="223" spans="1:3" x14ac:dyDescent="0.2">
      <c r="A223" s="6" t="s">
        <v>46</v>
      </c>
      <c r="B223" s="18">
        <f>+'Vigilante Xerem 12x36 not Arm'!D27</f>
        <v>0</v>
      </c>
      <c r="C223" s="52"/>
    </row>
    <row r="224" spans="1:3" x14ac:dyDescent="0.2">
      <c r="A224" s="104" t="s">
        <v>248</v>
      </c>
      <c r="B224" s="105">
        <f>SUM(B222:B223)</f>
        <v>0</v>
      </c>
      <c r="C224" s="52"/>
    </row>
    <row r="225" spans="1:3" x14ac:dyDescent="0.2">
      <c r="A225" s="6" t="s">
        <v>278</v>
      </c>
      <c r="B225" s="6">
        <v>4</v>
      </c>
      <c r="C225" s="52"/>
    </row>
    <row r="226" spans="1:3" x14ac:dyDescent="0.2">
      <c r="A226" s="6" t="s">
        <v>264</v>
      </c>
      <c r="B226" s="6">
        <v>12</v>
      </c>
      <c r="C226" s="52"/>
    </row>
    <row r="227" spans="1:3" x14ac:dyDescent="0.2">
      <c r="A227" s="116" t="s">
        <v>279</v>
      </c>
      <c r="B227" s="114"/>
      <c r="C227" s="52"/>
    </row>
    <row r="228" spans="1:3" x14ac:dyDescent="0.2">
      <c r="A228" s="116" t="s">
        <v>280</v>
      </c>
      <c r="B228" s="114"/>
      <c r="C228" s="52"/>
    </row>
    <row r="229" spans="1:3" x14ac:dyDescent="0.2">
      <c r="A229" s="34" t="s">
        <v>285</v>
      </c>
      <c r="B229" s="17">
        <f>+'Vigilante Xerem 12x36 not Arm'!C43</f>
        <v>2E-3</v>
      </c>
      <c r="C229" s="52"/>
    </row>
    <row r="230" spans="1:3" x14ac:dyDescent="0.2">
      <c r="A230" s="494" t="s">
        <v>286</v>
      </c>
      <c r="B230" s="494"/>
      <c r="C230" s="71">
        <f>ROUND((((B224*(B225/B226)*B227)*B228)*B229),2)</f>
        <v>0</v>
      </c>
    </row>
  </sheetData>
  <mergeCells count="44">
    <mergeCell ref="A100:C100"/>
    <mergeCell ref="A1:C1"/>
    <mergeCell ref="A9:C9"/>
    <mergeCell ref="A25:B25"/>
    <mergeCell ref="A27:C27"/>
    <mergeCell ref="A38:C38"/>
    <mergeCell ref="A51:B51"/>
    <mergeCell ref="A53:C53"/>
    <mergeCell ref="A66:B66"/>
    <mergeCell ref="A68:C68"/>
    <mergeCell ref="A79:C79"/>
    <mergeCell ref="A98:B98"/>
    <mergeCell ref="A146:C146"/>
    <mergeCell ref="A107:B107"/>
    <mergeCell ref="A109:C109"/>
    <mergeCell ref="A116:B116"/>
    <mergeCell ref="A118:C118"/>
    <mergeCell ref="A122:B122"/>
    <mergeCell ref="A124:C124"/>
    <mergeCell ref="A133:B133"/>
    <mergeCell ref="A135:B135"/>
    <mergeCell ref="A136:B136"/>
    <mergeCell ref="A138:C138"/>
    <mergeCell ref="A144:B144"/>
    <mergeCell ref="A190:C190"/>
    <mergeCell ref="A155:B155"/>
    <mergeCell ref="A157:B157"/>
    <mergeCell ref="A158:B158"/>
    <mergeCell ref="A160:C160"/>
    <mergeCell ref="A161:C164"/>
    <mergeCell ref="A166:C166"/>
    <mergeCell ref="A171:B171"/>
    <mergeCell ref="A173:C173"/>
    <mergeCell ref="A180:B180"/>
    <mergeCell ref="A182:C182"/>
    <mergeCell ref="A188:B188"/>
    <mergeCell ref="A221:C221"/>
    <mergeCell ref="A230:B230"/>
    <mergeCell ref="A196:B196"/>
    <mergeCell ref="A198:C198"/>
    <mergeCell ref="A209:B209"/>
    <mergeCell ref="A211:C211"/>
    <mergeCell ref="A212:C212"/>
    <mergeCell ref="A220:B220"/>
  </mergeCells>
  <pageMargins left="1.02" right="0.13" top="0.23" bottom="0.56999999999999995" header="0.21" footer="0.31496062992125984"/>
  <pageSetup paperSize="9" scale="90" orientation="portrait" r:id="rId1"/>
  <headerFooter>
    <oddFooter>&amp;A</oddFooter>
  </headerFooter>
  <rowBreaks count="3" manualBreakCount="3">
    <brk id="52" max="16383" man="1"/>
    <brk id="117" max="16383" man="1"/>
    <brk id="181" max="16383" man="1"/>
  </rowBreaks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sheetPr>
    <tabColor rgb="FF0070C0"/>
  </sheetPr>
  <dimension ref="A1:F185"/>
  <sheetViews>
    <sheetView topLeftCell="A55" workbookViewId="0">
      <selection activeCell="D99" sqref="D99:D100"/>
    </sheetView>
  </sheetViews>
  <sheetFormatPr defaultRowHeight="12.75" x14ac:dyDescent="0.2"/>
  <cols>
    <col min="1" max="1" width="5.625" customWidth="1"/>
    <col min="2" max="2" width="50.5" customWidth="1"/>
    <col min="3" max="3" width="9.375" bestFit="1" customWidth="1"/>
    <col min="4" max="4" width="15.625" customWidth="1"/>
    <col min="5" max="5" width="11.75" bestFit="1" customWidth="1"/>
  </cols>
  <sheetData>
    <row r="1" spans="1:6" x14ac:dyDescent="0.2">
      <c r="A1" s="477" t="s">
        <v>211</v>
      </c>
      <c r="B1" s="478"/>
      <c r="C1" s="478"/>
      <c r="D1" s="479"/>
      <c r="E1" s="3"/>
      <c r="F1" s="3"/>
    </row>
    <row r="4" spans="1:6" x14ac:dyDescent="0.2">
      <c r="A4" s="474" t="s">
        <v>16</v>
      </c>
      <c r="B4" s="474"/>
      <c r="C4" s="474"/>
      <c r="D4" s="474"/>
    </row>
    <row r="5" spans="1:6" s="1" customFormat="1" ht="42.75" customHeight="1" x14ac:dyDescent="0.2">
      <c r="A5" s="298">
        <v>1</v>
      </c>
      <c r="B5" s="299" t="s">
        <v>17</v>
      </c>
      <c r="C5" s="595" t="s">
        <v>372</v>
      </c>
      <c r="D5" s="596"/>
    </row>
    <row r="6" spans="1:6" s="1" customFormat="1" x14ac:dyDescent="0.2">
      <c r="A6" s="298">
        <v>2</v>
      </c>
      <c r="B6" s="299" t="s">
        <v>18</v>
      </c>
      <c r="C6" s="597" t="s">
        <v>295</v>
      </c>
      <c r="D6" s="592"/>
    </row>
    <row r="7" spans="1:6" s="1" customFormat="1" x14ac:dyDescent="0.2">
      <c r="A7" s="298">
        <v>3</v>
      </c>
      <c r="B7" s="299" t="s">
        <v>19</v>
      </c>
      <c r="C7" s="484"/>
      <c r="D7" s="484"/>
    </row>
    <row r="8" spans="1:6" s="1" customFormat="1" ht="41.25" customHeight="1" x14ac:dyDescent="0.2">
      <c r="A8" s="298">
        <v>4</v>
      </c>
      <c r="B8" s="299" t="s">
        <v>21</v>
      </c>
      <c r="C8" s="593" t="s">
        <v>296</v>
      </c>
      <c r="D8" s="594"/>
    </row>
    <row r="9" spans="1:6" s="1" customFormat="1" x14ac:dyDescent="0.2">
      <c r="A9" s="298">
        <v>5</v>
      </c>
      <c r="B9" s="299" t="s">
        <v>20</v>
      </c>
      <c r="C9" s="591">
        <v>43160</v>
      </c>
      <c r="D9" s="592"/>
    </row>
    <row r="10" spans="1:6" x14ac:dyDescent="0.2">
      <c r="D10" s="201"/>
    </row>
    <row r="11" spans="1:6" x14ac:dyDescent="0.2">
      <c r="A11" s="455" t="s">
        <v>22</v>
      </c>
      <c r="B11" s="455"/>
      <c r="C11" s="455"/>
      <c r="D11" s="455"/>
    </row>
    <row r="12" spans="1:6" x14ac:dyDescent="0.2">
      <c r="A12" s="4">
        <v>1</v>
      </c>
      <c r="B12" s="207" t="s">
        <v>23</v>
      </c>
      <c r="C12" s="248" t="s">
        <v>50</v>
      </c>
      <c r="D12" s="5" t="s">
        <v>24</v>
      </c>
    </row>
    <row r="13" spans="1:6" x14ac:dyDescent="0.2">
      <c r="A13" s="247" t="s">
        <v>3</v>
      </c>
      <c r="B13" s="388" t="s">
        <v>30</v>
      </c>
      <c r="C13" s="388"/>
      <c r="D13" s="7">
        <f>+C7</f>
        <v>0</v>
      </c>
    </row>
    <row r="14" spans="1:6" x14ac:dyDescent="0.2">
      <c r="A14" s="247" t="s">
        <v>4</v>
      </c>
      <c r="B14" s="89" t="s">
        <v>31</v>
      </c>
      <c r="C14" s="95">
        <v>0.3</v>
      </c>
      <c r="D14" s="7">
        <f>+(D13+D23)*C14</f>
        <v>0</v>
      </c>
      <c r="E14" s="88"/>
    </row>
    <row r="15" spans="1:6" x14ac:dyDescent="0.2">
      <c r="A15" s="247" t="s">
        <v>5</v>
      </c>
      <c r="B15" s="89" t="s">
        <v>32</v>
      </c>
      <c r="C15" s="95"/>
      <c r="D15" s="7"/>
    </row>
    <row r="16" spans="1:6" x14ac:dyDescent="0.2">
      <c r="A16" s="247" t="s">
        <v>6</v>
      </c>
      <c r="B16" s="388" t="s">
        <v>33</v>
      </c>
      <c r="C16" s="388"/>
      <c r="D16" s="7"/>
    </row>
    <row r="17" spans="1:6" x14ac:dyDescent="0.2">
      <c r="A17" s="247" t="s">
        <v>25</v>
      </c>
      <c r="B17" s="388" t="s">
        <v>34</v>
      </c>
      <c r="C17" s="388"/>
      <c r="D17" s="7"/>
    </row>
    <row r="18" spans="1:6" x14ac:dyDescent="0.2">
      <c r="A18" s="247" t="s">
        <v>26</v>
      </c>
      <c r="B18" s="468" t="s">
        <v>231</v>
      </c>
      <c r="C18" s="469"/>
      <c r="D18" s="7"/>
    </row>
    <row r="19" spans="1:6" x14ac:dyDescent="0.2">
      <c r="A19" s="247" t="s">
        <v>27</v>
      </c>
      <c r="B19" s="388" t="s">
        <v>35</v>
      </c>
      <c r="C19" s="388"/>
      <c r="D19" s="7"/>
    </row>
    <row r="20" spans="1:6" x14ac:dyDescent="0.2">
      <c r="A20" s="247" t="s">
        <v>28</v>
      </c>
      <c r="B20" s="468" t="s">
        <v>195</v>
      </c>
      <c r="C20" s="469"/>
      <c r="D20" s="93"/>
    </row>
    <row r="21" spans="1:6" x14ac:dyDescent="0.2">
      <c r="A21" s="247" t="s">
        <v>64</v>
      </c>
      <c r="B21" s="89" t="s">
        <v>65</v>
      </c>
      <c r="C21" s="95"/>
      <c r="D21" s="7"/>
    </row>
    <row r="22" spans="1:6" x14ac:dyDescent="0.2">
      <c r="A22" s="247" t="s">
        <v>194</v>
      </c>
      <c r="B22" s="388" t="s">
        <v>95</v>
      </c>
      <c r="C22" s="388"/>
      <c r="D22" s="8"/>
      <c r="F22" s="98"/>
    </row>
    <row r="23" spans="1:6" x14ac:dyDescent="0.2">
      <c r="A23" s="247" t="s">
        <v>196</v>
      </c>
      <c r="B23" s="468" t="s">
        <v>344</v>
      </c>
      <c r="C23" s="469"/>
      <c r="D23" s="8"/>
      <c r="F23" s="98"/>
    </row>
    <row r="24" spans="1:6" x14ac:dyDescent="0.2">
      <c r="A24" s="247" t="s">
        <v>342</v>
      </c>
      <c r="B24" s="388" t="s">
        <v>36</v>
      </c>
      <c r="C24" s="388"/>
      <c r="D24" s="8"/>
    </row>
    <row r="25" spans="1:6" x14ac:dyDescent="0.2">
      <c r="A25" s="474" t="s">
        <v>29</v>
      </c>
      <c r="B25" s="474"/>
      <c r="C25" s="474"/>
      <c r="D25" s="9">
        <f>SUM(D13:D24)</f>
        <v>0</v>
      </c>
    </row>
    <row r="27" spans="1:6" x14ac:dyDescent="0.2">
      <c r="A27" s="460" t="s">
        <v>37</v>
      </c>
      <c r="B27" s="461"/>
      <c r="C27" s="461"/>
      <c r="D27" s="461"/>
    </row>
    <row r="29" spans="1:6" x14ac:dyDescent="0.2">
      <c r="A29" s="455" t="s">
        <v>38</v>
      </c>
      <c r="B29" s="455"/>
      <c r="C29" s="455"/>
      <c r="D29" s="455"/>
    </row>
    <row r="30" spans="1:6" x14ac:dyDescent="0.2">
      <c r="A30" s="13" t="s">
        <v>39</v>
      </c>
      <c r="B30" s="14" t="s">
        <v>40</v>
      </c>
      <c r="C30" s="248" t="s">
        <v>50</v>
      </c>
      <c r="D30" s="248" t="s">
        <v>24</v>
      </c>
    </row>
    <row r="31" spans="1:6" x14ac:dyDescent="0.2">
      <c r="A31" s="247" t="s">
        <v>3</v>
      </c>
      <c r="B31" s="6" t="s">
        <v>46</v>
      </c>
      <c r="C31" s="29" t="e">
        <f>ROUND(+D31/$D$25,4)</f>
        <v>#DIV/0!</v>
      </c>
      <c r="D31" s="8">
        <f>ROUND(+D25/12,2)</f>
        <v>0</v>
      </c>
    </row>
    <row r="32" spans="1:6" x14ac:dyDescent="0.2">
      <c r="A32" s="28" t="s">
        <v>4</v>
      </c>
      <c r="B32" s="37" t="s">
        <v>43</v>
      </c>
      <c r="C32" s="38" t="e">
        <f>ROUND(+D32/$D$25,4)</f>
        <v>#DIV/0!</v>
      </c>
      <c r="D32" s="39">
        <f>+D33+D34</f>
        <v>0</v>
      </c>
    </row>
    <row r="33" spans="1:4" x14ac:dyDescent="0.2">
      <c r="A33" s="247" t="s">
        <v>41</v>
      </c>
      <c r="B33" s="35" t="s">
        <v>45</v>
      </c>
      <c r="C33" s="40" t="e">
        <f>ROUND(+D33/$D$25,4)</f>
        <v>#DIV/0!</v>
      </c>
      <c r="D33" s="36">
        <f>ROUND(+D25/12,2)</f>
        <v>0</v>
      </c>
    </row>
    <row r="34" spans="1:4" x14ac:dyDescent="0.2">
      <c r="A34" s="247" t="s">
        <v>42</v>
      </c>
      <c r="B34" s="35" t="s">
        <v>44</v>
      </c>
      <c r="C34" s="40" t="e">
        <f>ROUND(+D34/$D$25,4)</f>
        <v>#DIV/0!</v>
      </c>
      <c r="D34" s="36">
        <f>ROUND(+(D25*1/3)/12,2)</f>
        <v>0</v>
      </c>
    </row>
    <row r="35" spans="1:4" x14ac:dyDescent="0.2">
      <c r="A35" s="474" t="s">
        <v>29</v>
      </c>
      <c r="B35" s="474"/>
      <c r="C35" s="474"/>
      <c r="D35" s="9">
        <f>+D32+D31</f>
        <v>0</v>
      </c>
    </row>
    <row r="37" spans="1:4" x14ac:dyDescent="0.2">
      <c r="A37" s="467" t="s">
        <v>47</v>
      </c>
      <c r="B37" s="467"/>
      <c r="C37" s="467"/>
      <c r="D37" s="467"/>
    </row>
    <row r="38" spans="1:4" x14ac:dyDescent="0.2">
      <c r="A38" s="13" t="s">
        <v>48</v>
      </c>
      <c r="B38" s="14" t="s">
        <v>49</v>
      </c>
      <c r="C38" s="248" t="s">
        <v>50</v>
      </c>
      <c r="D38" s="248" t="s">
        <v>24</v>
      </c>
    </row>
    <row r="39" spans="1:4" x14ac:dyDescent="0.2">
      <c r="A39" s="247" t="s">
        <v>3</v>
      </c>
      <c r="B39" s="6" t="s">
        <v>51</v>
      </c>
      <c r="C39" s="17">
        <v>0.2</v>
      </c>
      <c r="D39" s="18">
        <f>ROUND(C39*($D$25+$D$35),2)</f>
        <v>0</v>
      </c>
    </row>
    <row r="40" spans="1:4" x14ac:dyDescent="0.2">
      <c r="A40" s="247" t="s">
        <v>4</v>
      </c>
      <c r="B40" s="6" t="s">
        <v>52</v>
      </c>
      <c r="C40" s="17">
        <v>2.5000000000000001E-2</v>
      </c>
      <c r="D40" s="18">
        <f t="shared" ref="D40:D45" si="0">ROUND(C40*($D$25+$D$35),2)</f>
        <v>0</v>
      </c>
    </row>
    <row r="41" spans="1:4" x14ac:dyDescent="0.2">
      <c r="A41" s="247" t="s">
        <v>5</v>
      </c>
      <c r="B41" s="6" t="s">
        <v>58</v>
      </c>
      <c r="C41" s="17">
        <f>3%</f>
        <v>0.03</v>
      </c>
      <c r="D41" s="18">
        <f t="shared" si="0"/>
        <v>0</v>
      </c>
    </row>
    <row r="42" spans="1:4" x14ac:dyDescent="0.2">
      <c r="A42" s="247" t="s">
        <v>6</v>
      </c>
      <c r="B42" s="6" t="s">
        <v>53</v>
      </c>
      <c r="C42" s="17">
        <v>1.4999999999999999E-2</v>
      </c>
      <c r="D42" s="18">
        <f t="shared" si="0"/>
        <v>0</v>
      </c>
    </row>
    <row r="43" spans="1:4" x14ac:dyDescent="0.2">
      <c r="A43" s="247" t="s">
        <v>25</v>
      </c>
      <c r="B43" s="6" t="s">
        <v>54</v>
      </c>
      <c r="C43" s="17">
        <v>0.01</v>
      </c>
      <c r="D43" s="18">
        <f t="shared" si="0"/>
        <v>0</v>
      </c>
    </row>
    <row r="44" spans="1:4" x14ac:dyDescent="0.2">
      <c r="A44" s="247" t="s">
        <v>26</v>
      </c>
      <c r="B44" s="6" t="s">
        <v>55</v>
      </c>
      <c r="C44" s="17">
        <v>6.0000000000000001E-3</v>
      </c>
      <c r="D44" s="18">
        <f t="shared" si="0"/>
        <v>0</v>
      </c>
    </row>
    <row r="45" spans="1:4" x14ac:dyDescent="0.2">
      <c r="A45" s="247" t="s">
        <v>27</v>
      </c>
      <c r="B45" s="6" t="s">
        <v>56</v>
      </c>
      <c r="C45" s="17">
        <v>2E-3</v>
      </c>
      <c r="D45" s="18">
        <f t="shared" si="0"/>
        <v>0</v>
      </c>
    </row>
    <row r="46" spans="1:4" x14ac:dyDescent="0.2">
      <c r="A46" s="247" t="s">
        <v>28</v>
      </c>
      <c r="B46" s="6" t="s">
        <v>57</v>
      </c>
      <c r="C46" s="17">
        <v>0.08</v>
      </c>
      <c r="D46" s="18">
        <f>ROUND(C46*($D$25+$D$35),2)</f>
        <v>0</v>
      </c>
    </row>
    <row r="47" spans="1:4" x14ac:dyDescent="0.2">
      <c r="A47" s="249" t="s">
        <v>29</v>
      </c>
      <c r="B47" s="250"/>
      <c r="C47" s="41">
        <f>SUM(C39:C46)</f>
        <v>0.36800000000000005</v>
      </c>
      <c r="D47" s="42">
        <f>SUM(D39:D46)</f>
        <v>0</v>
      </c>
    </row>
    <row r="48" spans="1:4" x14ac:dyDescent="0.2">
      <c r="A48" s="43"/>
      <c r="B48" s="43"/>
      <c r="C48" s="43"/>
      <c r="D48" s="43"/>
    </row>
    <row r="49" spans="1:6" x14ac:dyDescent="0.2">
      <c r="A49" s="467" t="s">
        <v>59</v>
      </c>
      <c r="B49" s="467"/>
      <c r="C49" s="467"/>
      <c r="D49" s="467"/>
    </row>
    <row r="50" spans="1:6" x14ac:dyDescent="0.2">
      <c r="A50" s="13" t="s">
        <v>60</v>
      </c>
      <c r="B50" s="14" t="s">
        <v>61</v>
      </c>
      <c r="C50" s="248"/>
      <c r="D50" s="248" t="s">
        <v>24</v>
      </c>
    </row>
    <row r="51" spans="1:6" x14ac:dyDescent="0.2">
      <c r="A51" s="107" t="s">
        <v>3</v>
      </c>
      <c r="B51" s="6" t="s">
        <v>62</v>
      </c>
      <c r="C51" s="54"/>
      <c r="D51" s="18">
        <f>+'Calculo Xerem 44h des'!C121</f>
        <v>0</v>
      </c>
    </row>
    <row r="52" spans="1:6" s="60" customFormat="1" x14ac:dyDescent="0.2">
      <c r="A52" s="75" t="s">
        <v>177</v>
      </c>
      <c r="B52" s="34" t="s">
        <v>178</v>
      </c>
      <c r="C52" s="29">
        <f>+$C$137+$C$138</f>
        <v>3.6499999999999998E-2</v>
      </c>
      <c r="D52" s="77">
        <f>+(C52*D51)*-1</f>
        <v>0</v>
      </c>
      <c r="F52" s="76"/>
    </row>
    <row r="53" spans="1:6" x14ac:dyDescent="0.2">
      <c r="A53" s="107" t="s">
        <v>4</v>
      </c>
      <c r="B53" s="6" t="s">
        <v>63</v>
      </c>
      <c r="C53" s="54"/>
      <c r="D53" s="18">
        <f>+'Calculo Xerem 44h des'!C130</f>
        <v>0</v>
      </c>
      <c r="F53" s="61"/>
    </row>
    <row r="54" spans="1:6" s="60" customFormat="1" x14ac:dyDescent="0.2">
      <c r="A54" s="75" t="s">
        <v>41</v>
      </c>
      <c r="B54" s="34" t="s">
        <v>178</v>
      </c>
      <c r="C54" s="29">
        <f>+$C$137+$C$138</f>
        <v>3.6499999999999998E-2</v>
      </c>
      <c r="D54" s="77">
        <f>+(C54*D53)*-1</f>
        <v>0</v>
      </c>
      <c r="F54" s="78"/>
    </row>
    <row r="55" spans="1:6" x14ac:dyDescent="0.2">
      <c r="A55" s="6" t="s">
        <v>5</v>
      </c>
      <c r="B55" s="6" t="s">
        <v>66</v>
      </c>
      <c r="C55" s="54"/>
      <c r="D55" s="18"/>
      <c r="F55" s="61"/>
    </row>
    <row r="56" spans="1:6" x14ac:dyDescent="0.2">
      <c r="A56" s="75" t="s">
        <v>161</v>
      </c>
      <c r="B56" s="34" t="s">
        <v>178</v>
      </c>
      <c r="C56" s="29">
        <f>+$C$137+$C$138</f>
        <v>3.6499999999999998E-2</v>
      </c>
      <c r="D56" s="77">
        <f>+(C56*D55)*-1</f>
        <v>0</v>
      </c>
      <c r="F56" s="61"/>
    </row>
    <row r="57" spans="1:6" x14ac:dyDescent="0.2">
      <c r="A57" s="116" t="s">
        <v>6</v>
      </c>
      <c r="B57" s="116" t="s">
        <v>426</v>
      </c>
      <c r="C57" s="54"/>
      <c r="D57" s="377"/>
      <c r="F57" s="61"/>
    </row>
    <row r="58" spans="1:6" x14ac:dyDescent="0.2">
      <c r="A58" s="75" t="s">
        <v>179</v>
      </c>
      <c r="B58" s="34" t="s">
        <v>178</v>
      </c>
      <c r="C58" s="29">
        <f>+$C$137+$C$138</f>
        <v>3.6499999999999998E-2</v>
      </c>
      <c r="D58" s="77">
        <f>+(C58*D57)*-1</f>
        <v>0</v>
      </c>
      <c r="F58" s="61"/>
    </row>
    <row r="59" spans="1:6" x14ac:dyDescent="0.2">
      <c r="A59" s="116" t="s">
        <v>25</v>
      </c>
      <c r="B59" s="116" t="s">
        <v>427</v>
      </c>
      <c r="C59" s="54"/>
      <c r="D59" s="378"/>
      <c r="F59" s="131"/>
    </row>
    <row r="60" spans="1:6" x14ac:dyDescent="0.2">
      <c r="A60" s="75" t="s">
        <v>180</v>
      </c>
      <c r="B60" s="34" t="s">
        <v>178</v>
      </c>
      <c r="C60" s="29">
        <f>+$C$137+$C$138</f>
        <v>3.6499999999999998E-2</v>
      </c>
      <c r="D60" s="77">
        <f>+(C60*D59)*-1</f>
        <v>0</v>
      </c>
    </row>
    <row r="61" spans="1:6" x14ac:dyDescent="0.2">
      <c r="A61" s="116" t="s">
        <v>26</v>
      </c>
      <c r="B61" s="454" t="s">
        <v>293</v>
      </c>
      <c r="C61" s="454"/>
      <c r="D61" s="377"/>
    </row>
    <row r="62" spans="1:6" x14ac:dyDescent="0.2">
      <c r="A62" s="108" t="s">
        <v>81</v>
      </c>
      <c r="B62" s="34" t="s">
        <v>178</v>
      </c>
      <c r="C62" s="29">
        <f>+$C$137+$C$138</f>
        <v>3.6499999999999998E-2</v>
      </c>
      <c r="D62" s="77">
        <f>+(C62*D61)*-1</f>
        <v>0</v>
      </c>
    </row>
    <row r="63" spans="1:6" x14ac:dyDescent="0.2">
      <c r="A63" s="474" t="s">
        <v>29</v>
      </c>
      <c r="B63" s="474"/>
      <c r="C63" s="16"/>
      <c r="D63" s="110">
        <f>SUM(D51:D62)</f>
        <v>0</v>
      </c>
    </row>
    <row r="65" spans="1:4" x14ac:dyDescent="0.2">
      <c r="A65" s="455" t="s">
        <v>67</v>
      </c>
      <c r="B65" s="455"/>
      <c r="C65" s="455"/>
      <c r="D65" s="455"/>
    </row>
    <row r="66" spans="1:4" x14ac:dyDescent="0.2">
      <c r="A66" s="24">
        <v>2</v>
      </c>
      <c r="B66" s="455" t="s">
        <v>68</v>
      </c>
      <c r="C66" s="455"/>
      <c r="D66" s="253" t="s">
        <v>24</v>
      </c>
    </row>
    <row r="67" spans="1:4" x14ac:dyDescent="0.2">
      <c r="A67" s="25" t="s">
        <v>39</v>
      </c>
      <c r="B67" s="466" t="s">
        <v>40</v>
      </c>
      <c r="C67" s="466"/>
      <c r="D67" s="18">
        <f>+D35</f>
        <v>0</v>
      </c>
    </row>
    <row r="68" spans="1:4" x14ac:dyDescent="0.2">
      <c r="A68" s="25" t="s">
        <v>48</v>
      </c>
      <c r="B68" s="466" t="s">
        <v>49</v>
      </c>
      <c r="C68" s="466"/>
      <c r="D68" s="18">
        <f>+D47</f>
        <v>0</v>
      </c>
    </row>
    <row r="69" spans="1:4" x14ac:dyDescent="0.2">
      <c r="A69" s="25" t="s">
        <v>60</v>
      </c>
      <c r="B69" s="466" t="s">
        <v>61</v>
      </c>
      <c r="C69" s="466"/>
      <c r="D69" s="68">
        <f>+D63</f>
        <v>0</v>
      </c>
    </row>
    <row r="70" spans="1:4" x14ac:dyDescent="0.2">
      <c r="A70" s="455" t="s">
        <v>29</v>
      </c>
      <c r="B70" s="455"/>
      <c r="C70" s="455"/>
      <c r="D70" s="26">
        <f>SUM(D67:D69)</f>
        <v>0</v>
      </c>
    </row>
    <row r="72" spans="1:4" x14ac:dyDescent="0.2">
      <c r="A72" s="455" t="s">
        <v>69</v>
      </c>
      <c r="B72" s="455"/>
      <c r="C72" s="455"/>
      <c r="D72" s="455"/>
    </row>
    <row r="74" spans="1:4" x14ac:dyDescent="0.2">
      <c r="A74" s="13">
        <v>3</v>
      </c>
      <c r="B74" s="14" t="s">
        <v>70</v>
      </c>
      <c r="C74" s="248" t="s">
        <v>50</v>
      </c>
      <c r="D74" s="248" t="s">
        <v>24</v>
      </c>
    </row>
    <row r="75" spans="1:4" x14ac:dyDescent="0.2">
      <c r="A75" s="247" t="s">
        <v>3</v>
      </c>
      <c r="B75" s="34" t="s">
        <v>72</v>
      </c>
      <c r="C75" s="29" t="e">
        <f>+D75/$D$25</f>
        <v>#DIV/0!</v>
      </c>
      <c r="D75" s="118">
        <f>+'Calculo Xerem 44h des'!C136</f>
        <v>0</v>
      </c>
    </row>
    <row r="76" spans="1:4" x14ac:dyDescent="0.2">
      <c r="A76" s="247" t="s">
        <v>4</v>
      </c>
      <c r="B76" s="6" t="s">
        <v>73</v>
      </c>
      <c r="C76" s="52"/>
      <c r="D76" s="8">
        <f>ROUND(+D75*$C$46,2)</f>
        <v>0</v>
      </c>
    </row>
    <row r="77" spans="1:4" ht="25.5" x14ac:dyDescent="0.2">
      <c r="A77" s="247" t="s">
        <v>5</v>
      </c>
      <c r="B77" s="30" t="s">
        <v>75</v>
      </c>
      <c r="C77" s="17" t="e">
        <f>+D77/$D$25</f>
        <v>#DIV/0!</v>
      </c>
      <c r="D77" s="8">
        <f>+'Calculo Xerem 44h des'!C147</f>
        <v>0</v>
      </c>
    </row>
    <row r="78" spans="1:4" x14ac:dyDescent="0.2">
      <c r="A78" s="108" t="s">
        <v>6</v>
      </c>
      <c r="B78" s="6" t="s">
        <v>71</v>
      </c>
      <c r="C78" s="17" t="e">
        <f>+D78/$D$25</f>
        <v>#DIV/0!</v>
      </c>
      <c r="D78" s="8">
        <f>+'Calculo Xerem 44h des'!C158</f>
        <v>0</v>
      </c>
    </row>
    <row r="79" spans="1:4" ht="25.5" x14ac:dyDescent="0.2">
      <c r="A79" s="108" t="s">
        <v>25</v>
      </c>
      <c r="B79" s="30" t="s">
        <v>74</v>
      </c>
      <c r="C79" s="52"/>
      <c r="D79" s="384"/>
    </row>
    <row r="80" spans="1:4" ht="25.5" x14ac:dyDescent="0.2">
      <c r="A80" s="108" t="s">
        <v>26</v>
      </c>
      <c r="B80" s="30" t="s">
        <v>76</v>
      </c>
      <c r="C80" s="17" t="e">
        <f>+D80/$D$25</f>
        <v>#DIV/0!</v>
      </c>
      <c r="D80" s="18">
        <f>+'Calculo Xerem 44h des'!C149</f>
        <v>0</v>
      </c>
    </row>
    <row r="81" spans="1:4" x14ac:dyDescent="0.2">
      <c r="A81" s="474" t="s">
        <v>29</v>
      </c>
      <c r="B81" s="474"/>
      <c r="C81" s="474"/>
      <c r="D81" s="32">
        <f>SUM(D75:D80)</f>
        <v>0</v>
      </c>
    </row>
    <row r="83" spans="1:4" x14ac:dyDescent="0.2">
      <c r="A83" s="455" t="s">
        <v>84</v>
      </c>
      <c r="B83" s="455"/>
      <c r="C83" s="455"/>
      <c r="D83" s="455"/>
    </row>
    <row r="85" spans="1:4" x14ac:dyDescent="0.2">
      <c r="A85" s="467" t="s">
        <v>87</v>
      </c>
      <c r="B85" s="467"/>
      <c r="C85" s="467"/>
      <c r="D85" s="467"/>
    </row>
    <row r="86" spans="1:4" x14ac:dyDescent="0.2">
      <c r="A86" s="13" t="s">
        <v>85</v>
      </c>
      <c r="B86" s="474" t="s">
        <v>86</v>
      </c>
      <c r="C86" s="474"/>
      <c r="D86" s="248" t="s">
        <v>24</v>
      </c>
    </row>
    <row r="87" spans="1:4" x14ac:dyDescent="0.2">
      <c r="A87" s="6" t="s">
        <v>3</v>
      </c>
      <c r="B87" s="470" t="s">
        <v>88</v>
      </c>
      <c r="C87" s="471"/>
      <c r="D87" s="8"/>
    </row>
    <row r="88" spans="1:4" x14ac:dyDescent="0.2">
      <c r="A88" s="34" t="s">
        <v>4</v>
      </c>
      <c r="B88" s="488" t="s">
        <v>86</v>
      </c>
      <c r="C88" s="489"/>
      <c r="D88" s="120">
        <f>+'Calculo Xerem 44h des'!C185</f>
        <v>0</v>
      </c>
    </row>
    <row r="89" spans="1:4" s="60" customFormat="1" x14ac:dyDescent="0.2">
      <c r="A89" s="34" t="s">
        <v>5</v>
      </c>
      <c r="B89" s="488" t="s">
        <v>89</v>
      </c>
      <c r="C89" s="489"/>
      <c r="D89" s="120">
        <f>+'Calculo Xerem 44h des'!C194</f>
        <v>0</v>
      </c>
    </row>
    <row r="90" spans="1:4" s="60" customFormat="1" x14ac:dyDescent="0.2">
      <c r="A90" s="34" t="s">
        <v>6</v>
      </c>
      <c r="B90" s="488" t="s">
        <v>90</v>
      </c>
      <c r="C90" s="489"/>
      <c r="D90" s="120">
        <f>+'Calculo Xerem 44h des'!C202</f>
        <v>0</v>
      </c>
    </row>
    <row r="91" spans="1:4" s="60" customFormat="1" ht="13.5" x14ac:dyDescent="0.2">
      <c r="A91" s="34" t="s">
        <v>25</v>
      </c>
      <c r="B91" s="488" t="s">
        <v>287</v>
      </c>
      <c r="C91" s="489"/>
      <c r="D91" s="120"/>
    </row>
    <row r="92" spans="1:4" s="60" customFormat="1" x14ac:dyDescent="0.2">
      <c r="A92" s="34" t="s">
        <v>26</v>
      </c>
      <c r="B92" s="488" t="s">
        <v>93</v>
      </c>
      <c r="C92" s="489"/>
      <c r="D92" s="120">
        <f>+'Calculo Xerem 44h des'!C210</f>
        <v>0</v>
      </c>
    </row>
    <row r="93" spans="1:4" x14ac:dyDescent="0.2">
      <c r="A93" s="6" t="s">
        <v>27</v>
      </c>
      <c r="B93" s="470" t="s">
        <v>36</v>
      </c>
      <c r="C93" s="471"/>
      <c r="D93" s="8"/>
    </row>
    <row r="94" spans="1:4" x14ac:dyDescent="0.2">
      <c r="A94" s="6" t="s">
        <v>28</v>
      </c>
      <c r="B94" s="470" t="s">
        <v>94</v>
      </c>
      <c r="C94" s="471"/>
      <c r="D94" s="384"/>
    </row>
    <row r="95" spans="1:4" x14ac:dyDescent="0.2">
      <c r="A95" s="474" t="s">
        <v>29</v>
      </c>
      <c r="B95" s="474"/>
      <c r="C95" s="474"/>
      <c r="D95" s="9">
        <f>SUM(D87:D94)</f>
        <v>0</v>
      </c>
    </row>
    <row r="96" spans="1:4" x14ac:dyDescent="0.2">
      <c r="D96" s="15"/>
    </row>
    <row r="97" spans="1:4" x14ac:dyDescent="0.2">
      <c r="A97" s="13" t="s">
        <v>99</v>
      </c>
      <c r="B97" s="474" t="s">
        <v>92</v>
      </c>
      <c r="C97" s="474"/>
      <c r="D97" s="248" t="s">
        <v>24</v>
      </c>
    </row>
    <row r="98" spans="1:4" s="60" customFormat="1" x14ac:dyDescent="0.2">
      <c r="A98" s="34" t="s">
        <v>3</v>
      </c>
      <c r="B98" s="475" t="s">
        <v>96</v>
      </c>
      <c r="C98" s="476"/>
      <c r="D98" s="120">
        <f>+'Calculo Xerem 44h des'!C234</f>
        <v>0</v>
      </c>
    </row>
    <row r="99" spans="1:4" s="60" customFormat="1" ht="29.25" customHeight="1" x14ac:dyDescent="0.2">
      <c r="A99" s="34" t="s">
        <v>4</v>
      </c>
      <c r="B99" s="490" t="s">
        <v>98</v>
      </c>
      <c r="C99" s="491"/>
      <c r="D99" s="384"/>
    </row>
    <row r="100" spans="1:4" s="60" customFormat="1" ht="28.5" customHeight="1" x14ac:dyDescent="0.2">
      <c r="A100" s="34" t="s">
        <v>5</v>
      </c>
      <c r="B100" s="490" t="s">
        <v>97</v>
      </c>
      <c r="C100" s="491"/>
      <c r="D100" s="384"/>
    </row>
    <row r="101" spans="1:4" x14ac:dyDescent="0.2">
      <c r="A101" s="6" t="s">
        <v>6</v>
      </c>
      <c r="B101" s="470" t="s">
        <v>36</v>
      </c>
      <c r="C101" s="471"/>
      <c r="D101" s="8"/>
    </row>
    <row r="102" spans="1:4" x14ac:dyDescent="0.2">
      <c r="A102" s="474" t="s">
        <v>29</v>
      </c>
      <c r="B102" s="474"/>
      <c r="C102" s="474"/>
      <c r="D102" s="9">
        <f>SUM(D98:D101)</f>
        <v>0</v>
      </c>
    </row>
    <row r="103" spans="1:4" x14ac:dyDescent="0.2">
      <c r="D103" s="15"/>
    </row>
    <row r="104" spans="1:4" x14ac:dyDescent="0.2">
      <c r="A104" s="13" t="s">
        <v>91</v>
      </c>
      <c r="B104" s="474" t="s">
        <v>100</v>
      </c>
      <c r="C104" s="474"/>
      <c r="D104" s="248" t="s">
        <v>24</v>
      </c>
    </row>
    <row r="105" spans="1:4" s="50" customFormat="1" ht="30" customHeight="1" x14ac:dyDescent="0.2">
      <c r="A105" s="108" t="s">
        <v>3</v>
      </c>
      <c r="B105" s="492" t="s">
        <v>288</v>
      </c>
      <c r="C105" s="492"/>
      <c r="D105" s="49"/>
    </row>
    <row r="106" spans="1:4" x14ac:dyDescent="0.2">
      <c r="A106" s="474" t="s">
        <v>29</v>
      </c>
      <c r="B106" s="474"/>
      <c r="C106" s="474"/>
      <c r="D106" s="9">
        <f>SUM(D105:D105)</f>
        <v>0</v>
      </c>
    </row>
    <row r="108" spans="1:4" x14ac:dyDescent="0.2">
      <c r="A108" s="494" t="s">
        <v>109</v>
      </c>
      <c r="B108" s="494"/>
      <c r="C108" s="494"/>
      <c r="D108" s="494"/>
    </row>
    <row r="109" spans="1:4" x14ac:dyDescent="0.2">
      <c r="A109" s="6" t="s">
        <v>85</v>
      </c>
      <c r="B109" s="470" t="s">
        <v>86</v>
      </c>
      <c r="C109" s="471"/>
      <c r="D109" s="18">
        <f>+D95</f>
        <v>0</v>
      </c>
    </row>
    <row r="110" spans="1:4" x14ac:dyDescent="0.2">
      <c r="A110" s="6" t="s">
        <v>99</v>
      </c>
      <c r="B110" s="470" t="s">
        <v>92</v>
      </c>
      <c r="C110" s="471"/>
      <c r="D110" s="18">
        <f>+D102</f>
        <v>0</v>
      </c>
    </row>
    <row r="111" spans="1:4" x14ac:dyDescent="0.2">
      <c r="A111" s="74"/>
      <c r="B111" s="472" t="s">
        <v>110</v>
      </c>
      <c r="C111" s="473"/>
      <c r="D111" s="73">
        <f>+D110+D109</f>
        <v>0</v>
      </c>
    </row>
    <row r="112" spans="1:4" x14ac:dyDescent="0.2">
      <c r="A112" s="6" t="s">
        <v>91</v>
      </c>
      <c r="B112" s="470" t="s">
        <v>100</v>
      </c>
      <c r="C112" s="471"/>
      <c r="D112" s="18">
        <f>+D106</f>
        <v>0</v>
      </c>
    </row>
    <row r="113" spans="1:4" x14ac:dyDescent="0.2">
      <c r="A113" s="494" t="s">
        <v>29</v>
      </c>
      <c r="B113" s="494"/>
      <c r="C113" s="494"/>
      <c r="D113" s="71">
        <f>+D112+D111</f>
        <v>0</v>
      </c>
    </row>
    <row r="115" spans="1:4" x14ac:dyDescent="0.2">
      <c r="A115" s="455" t="s">
        <v>151</v>
      </c>
      <c r="B115" s="455"/>
      <c r="C115" s="455"/>
      <c r="D115" s="455"/>
    </row>
    <row r="117" spans="1:4" x14ac:dyDescent="0.2">
      <c r="A117" s="13">
        <v>5</v>
      </c>
      <c r="B117" s="474" t="s">
        <v>152</v>
      </c>
      <c r="C117" s="474"/>
      <c r="D117" s="248" t="s">
        <v>24</v>
      </c>
    </row>
    <row r="118" spans="1:4" x14ac:dyDescent="0.2">
      <c r="A118" s="6" t="s">
        <v>3</v>
      </c>
      <c r="B118" s="388" t="s">
        <v>153</v>
      </c>
      <c r="C118" s="388"/>
      <c r="D118" s="8">
        <f>+Uniforme!G165</f>
        <v>0</v>
      </c>
    </row>
    <row r="119" spans="1:4" x14ac:dyDescent="0.2">
      <c r="A119" s="6" t="s">
        <v>177</v>
      </c>
      <c r="B119" s="34" t="s">
        <v>178</v>
      </c>
      <c r="C119" s="29">
        <f>+$C$137+$C$138</f>
        <v>3.6499999999999998E-2</v>
      </c>
      <c r="D119" s="77">
        <f>+(C119*D118)*-1</f>
        <v>0</v>
      </c>
    </row>
    <row r="120" spans="1:4" x14ac:dyDescent="0.2">
      <c r="A120" s="6" t="s">
        <v>4</v>
      </c>
      <c r="B120" s="388" t="s">
        <v>154</v>
      </c>
      <c r="C120" s="388"/>
      <c r="D120" s="8"/>
    </row>
    <row r="121" spans="1:4" x14ac:dyDescent="0.2">
      <c r="A121" s="6" t="s">
        <v>41</v>
      </c>
      <c r="B121" s="34" t="s">
        <v>178</v>
      </c>
      <c r="C121" s="29">
        <f>+$C$137+$C$138</f>
        <v>3.6499999999999998E-2</v>
      </c>
      <c r="D121" s="77">
        <f>+(C121*D120)*-1</f>
        <v>0</v>
      </c>
    </row>
    <row r="122" spans="1:4" x14ac:dyDescent="0.2">
      <c r="A122" s="6" t="s">
        <v>5</v>
      </c>
      <c r="B122" s="388" t="s">
        <v>155</v>
      </c>
      <c r="C122" s="388"/>
      <c r="D122" s="8">
        <f>+Uniforme!F172</f>
        <v>0</v>
      </c>
    </row>
    <row r="123" spans="1:4" x14ac:dyDescent="0.2">
      <c r="A123" s="6" t="s">
        <v>161</v>
      </c>
      <c r="B123" s="34" t="s">
        <v>178</v>
      </c>
      <c r="C123" s="29">
        <f>+$C$137+$C$138</f>
        <v>3.6499999999999998E-2</v>
      </c>
      <c r="D123" s="77">
        <f>+(C123*D122)*-1</f>
        <v>0</v>
      </c>
    </row>
    <row r="124" spans="1:4" x14ac:dyDescent="0.2">
      <c r="A124" s="6" t="s">
        <v>6</v>
      </c>
      <c r="B124" s="388" t="s">
        <v>36</v>
      </c>
      <c r="C124" s="388"/>
      <c r="D124" s="8"/>
    </row>
    <row r="125" spans="1:4" x14ac:dyDescent="0.2">
      <c r="A125" s="6" t="s">
        <v>179</v>
      </c>
      <c r="B125" s="34" t="s">
        <v>178</v>
      </c>
      <c r="C125" s="29">
        <f>+$C$137+$C$138</f>
        <v>3.6499999999999998E-2</v>
      </c>
      <c r="D125" s="77">
        <f>+(C125*D124)*-1</f>
        <v>0</v>
      </c>
    </row>
    <row r="126" spans="1:4" x14ac:dyDescent="0.2">
      <c r="A126" s="474" t="s">
        <v>29</v>
      </c>
      <c r="B126" s="474"/>
      <c r="C126" s="474"/>
      <c r="D126" s="9">
        <f>SUM(D118:D124)</f>
        <v>0</v>
      </c>
    </row>
    <row r="128" spans="1:4" x14ac:dyDescent="0.2">
      <c r="A128" s="455" t="s">
        <v>156</v>
      </c>
      <c r="B128" s="455"/>
      <c r="C128" s="455"/>
      <c r="D128" s="455"/>
    </row>
    <row r="130" spans="1:4" x14ac:dyDescent="0.2">
      <c r="A130" s="13">
        <v>6</v>
      </c>
      <c r="B130" s="14" t="s">
        <v>157</v>
      </c>
      <c r="C130" s="251" t="s">
        <v>50</v>
      </c>
      <c r="D130" s="248" t="s">
        <v>24</v>
      </c>
    </row>
    <row r="131" spans="1:4" x14ac:dyDescent="0.2">
      <c r="A131" s="116" t="s">
        <v>3</v>
      </c>
      <c r="B131" s="116" t="s">
        <v>158</v>
      </c>
      <c r="C131" s="114">
        <v>0.03</v>
      </c>
      <c r="D131" s="377">
        <f>($D$126+$D$113+$D$81+$D$70+$D$25)*C131</f>
        <v>0</v>
      </c>
    </row>
    <row r="132" spans="1:4" x14ac:dyDescent="0.2">
      <c r="A132" s="116" t="s">
        <v>4</v>
      </c>
      <c r="B132" s="116" t="s">
        <v>159</v>
      </c>
      <c r="C132" s="114">
        <v>0.03</v>
      </c>
      <c r="D132" s="377">
        <f>($D$126+$D$113+$D$81+$D$70+$D$25+D131)*C132</f>
        <v>0</v>
      </c>
    </row>
    <row r="133" spans="1:4" s="79" customFormat="1" x14ac:dyDescent="0.2">
      <c r="A133" s="495" t="s">
        <v>181</v>
      </c>
      <c r="B133" s="496"/>
      <c r="C133" s="497"/>
      <c r="D133" s="81">
        <f>++D132+D131+D126+D113+D81+D70+D25</f>
        <v>0</v>
      </c>
    </row>
    <row r="134" spans="1:4" s="79" customFormat="1" x14ac:dyDescent="0.2">
      <c r="A134" s="498" t="s">
        <v>182</v>
      </c>
      <c r="B134" s="499"/>
      <c r="C134" s="500"/>
      <c r="D134" s="81">
        <f>ROUND(D133/(1-(C137+C138+C140+C142+C143)),2)</f>
        <v>0</v>
      </c>
    </row>
    <row r="135" spans="1:4" x14ac:dyDescent="0.2">
      <c r="A135" s="6" t="s">
        <v>5</v>
      </c>
      <c r="B135" s="6" t="s">
        <v>160</v>
      </c>
      <c r="C135" s="17"/>
      <c r="D135" s="6"/>
    </row>
    <row r="136" spans="1:4" x14ac:dyDescent="0.2">
      <c r="A136" s="6" t="s">
        <v>161</v>
      </c>
      <c r="B136" s="6" t="s">
        <v>162</v>
      </c>
      <c r="C136" s="17"/>
      <c r="D136" s="6"/>
    </row>
    <row r="137" spans="1:4" x14ac:dyDescent="0.2">
      <c r="A137" s="116" t="s">
        <v>163</v>
      </c>
      <c r="B137" s="116" t="s">
        <v>165</v>
      </c>
      <c r="C137" s="114">
        <v>6.4999999999999997E-3</v>
      </c>
      <c r="D137" s="377">
        <f>ROUND(C137*$D$134,2)</f>
        <v>0</v>
      </c>
    </row>
    <row r="138" spans="1:4" x14ac:dyDescent="0.2">
      <c r="A138" s="116" t="s">
        <v>164</v>
      </c>
      <c r="B138" s="116" t="s">
        <v>166</v>
      </c>
      <c r="C138" s="114">
        <v>0.03</v>
      </c>
      <c r="D138" s="377">
        <f>ROUND(C138*$D$134,2)</f>
        <v>0</v>
      </c>
    </row>
    <row r="139" spans="1:4" x14ac:dyDescent="0.2">
      <c r="A139" s="6" t="s">
        <v>167</v>
      </c>
      <c r="B139" s="6" t="s">
        <v>168</v>
      </c>
      <c r="C139" s="17"/>
      <c r="D139" s="18"/>
    </row>
    <row r="140" spans="1:4" x14ac:dyDescent="0.2">
      <c r="A140" s="6" t="s">
        <v>170</v>
      </c>
      <c r="B140" s="6" t="s">
        <v>169</v>
      </c>
      <c r="C140" s="17"/>
      <c r="D140" s="6"/>
    </row>
    <row r="141" spans="1:4" x14ac:dyDescent="0.2">
      <c r="A141" s="6" t="s">
        <v>171</v>
      </c>
      <c r="B141" s="6" t="s">
        <v>172</v>
      </c>
      <c r="C141" s="17"/>
      <c r="D141" s="6"/>
    </row>
    <row r="142" spans="1:4" x14ac:dyDescent="0.2">
      <c r="A142" s="116" t="s">
        <v>173</v>
      </c>
      <c r="B142" s="116" t="s">
        <v>174</v>
      </c>
      <c r="C142" s="114">
        <v>0.05</v>
      </c>
      <c r="D142" s="377">
        <f>ROUND(C142*$D$134,2)</f>
        <v>0</v>
      </c>
    </row>
    <row r="143" spans="1:4" x14ac:dyDescent="0.2">
      <c r="A143" s="6" t="s">
        <v>175</v>
      </c>
      <c r="B143" s="6" t="s">
        <v>176</v>
      </c>
      <c r="C143" s="17"/>
      <c r="D143" s="6"/>
    </row>
    <row r="144" spans="1:4" x14ac:dyDescent="0.2">
      <c r="A144" s="463" t="s">
        <v>29</v>
      </c>
      <c r="B144" s="464"/>
      <c r="C144" s="80">
        <f>+C143+C142+C140+C138+C137+C132+C131</f>
        <v>0.14650000000000002</v>
      </c>
      <c r="D144" s="9">
        <f>+D142+D140+D138+D137+D132+D131</f>
        <v>0</v>
      </c>
    </row>
    <row r="146" spans="1:4" x14ac:dyDescent="0.2">
      <c r="A146" s="501" t="s">
        <v>183</v>
      </c>
      <c r="B146" s="501"/>
      <c r="C146" s="501"/>
      <c r="D146" s="501"/>
    </row>
    <row r="147" spans="1:4" x14ac:dyDescent="0.2">
      <c r="A147" s="6" t="s">
        <v>3</v>
      </c>
      <c r="B147" s="456" t="s">
        <v>185</v>
      </c>
      <c r="C147" s="456"/>
      <c r="D147" s="8">
        <f>+D25</f>
        <v>0</v>
      </c>
    </row>
    <row r="148" spans="1:4" x14ac:dyDescent="0.2">
      <c r="A148" s="6" t="s">
        <v>184</v>
      </c>
      <c r="B148" s="456" t="s">
        <v>186</v>
      </c>
      <c r="C148" s="456"/>
      <c r="D148" s="8">
        <f>+D70</f>
        <v>0</v>
      </c>
    </row>
    <row r="149" spans="1:4" x14ac:dyDescent="0.2">
      <c r="A149" s="6" t="s">
        <v>5</v>
      </c>
      <c r="B149" s="456" t="s">
        <v>187</v>
      </c>
      <c r="C149" s="456"/>
      <c r="D149" s="8">
        <f>+D81</f>
        <v>0</v>
      </c>
    </row>
    <row r="150" spans="1:4" x14ac:dyDescent="0.2">
      <c r="A150" s="6" t="s">
        <v>6</v>
      </c>
      <c r="B150" s="456" t="s">
        <v>188</v>
      </c>
      <c r="C150" s="456"/>
      <c r="D150" s="8">
        <f>+D113</f>
        <v>0</v>
      </c>
    </row>
    <row r="151" spans="1:4" x14ac:dyDescent="0.2">
      <c r="A151" s="6" t="s">
        <v>25</v>
      </c>
      <c r="B151" s="456" t="s">
        <v>189</v>
      </c>
      <c r="C151" s="456"/>
      <c r="D151" s="8">
        <f>+D126</f>
        <v>0</v>
      </c>
    </row>
    <row r="152" spans="1:4" x14ac:dyDescent="0.2">
      <c r="B152" s="457" t="s">
        <v>192</v>
      </c>
      <c r="C152" s="457"/>
      <c r="D152" s="72">
        <f>SUM(D147:D151)</f>
        <v>0</v>
      </c>
    </row>
    <row r="153" spans="1:4" x14ac:dyDescent="0.2">
      <c r="A153" s="6" t="s">
        <v>26</v>
      </c>
      <c r="B153" s="456" t="s">
        <v>190</v>
      </c>
      <c r="C153" s="456"/>
      <c r="D153" s="8">
        <f>+D144</f>
        <v>0</v>
      </c>
    </row>
    <row r="155" spans="1:4" x14ac:dyDescent="0.2">
      <c r="A155" s="524" t="s">
        <v>191</v>
      </c>
      <c r="B155" s="524"/>
      <c r="C155" s="524"/>
      <c r="D155" s="82">
        <f>ROUND(+D153+D152,2)</f>
        <v>0</v>
      </c>
    </row>
    <row r="157" spans="1:4" x14ac:dyDescent="0.2">
      <c r="A157" s="459" t="s">
        <v>77</v>
      </c>
      <c r="B157" s="459"/>
      <c r="C157" s="459"/>
      <c r="D157" s="459"/>
    </row>
    <row r="159" spans="1:4" x14ac:dyDescent="0.2">
      <c r="A159" s="6" t="s">
        <v>3</v>
      </c>
      <c r="B159" s="6" t="s">
        <v>46</v>
      </c>
      <c r="C159" s="44" t="e">
        <f>+C31</f>
        <v>#DIV/0!</v>
      </c>
      <c r="D159" s="8">
        <f>+D31</f>
        <v>0</v>
      </c>
    </row>
    <row r="160" spans="1:4" x14ac:dyDescent="0.2">
      <c r="A160" s="6" t="s">
        <v>4</v>
      </c>
      <c r="B160" s="6" t="s">
        <v>45</v>
      </c>
      <c r="C160" s="44" t="e">
        <f>+C33</f>
        <v>#DIV/0!</v>
      </c>
      <c r="D160" s="8">
        <f>+D33</f>
        <v>0</v>
      </c>
    </row>
    <row r="161" spans="1:5" x14ac:dyDescent="0.2">
      <c r="A161" s="6" t="s">
        <v>5</v>
      </c>
      <c r="B161" s="6" t="s">
        <v>44</v>
      </c>
      <c r="C161" s="44" t="e">
        <f>+C34</f>
        <v>#DIV/0!</v>
      </c>
      <c r="D161" s="8">
        <f>+D34</f>
        <v>0</v>
      </c>
    </row>
    <row r="162" spans="1:5" ht="25.5" x14ac:dyDescent="0.2">
      <c r="A162" s="6" t="s">
        <v>6</v>
      </c>
      <c r="B162" s="30" t="s">
        <v>75</v>
      </c>
      <c r="C162" s="17" t="e">
        <f>+C77</f>
        <v>#DIV/0!</v>
      </c>
      <c r="D162" s="8">
        <f>+D77</f>
        <v>0</v>
      </c>
    </row>
    <row r="163" spans="1:5" ht="25.5" x14ac:dyDescent="0.2">
      <c r="A163" s="6" t="s">
        <v>25</v>
      </c>
      <c r="B163" s="30" t="s">
        <v>76</v>
      </c>
      <c r="C163" s="44" t="e">
        <f>+C80</f>
        <v>#DIV/0!</v>
      </c>
      <c r="D163" s="18">
        <f>+D80</f>
        <v>0</v>
      </c>
    </row>
    <row r="164" spans="1:5" x14ac:dyDescent="0.2">
      <c r="A164" s="6" t="s">
        <v>81</v>
      </c>
      <c r="B164" s="34" t="s">
        <v>79</v>
      </c>
      <c r="C164" s="458" t="e">
        <f>+(D164+D165+D166)/D25</f>
        <v>#DIV/0!</v>
      </c>
      <c r="D164" s="8">
        <f>ROUND(D31*(SUM($C$39:$C$46)),2)</f>
        <v>0</v>
      </c>
    </row>
    <row r="165" spans="1:5" x14ac:dyDescent="0.2">
      <c r="A165" s="6" t="s">
        <v>82</v>
      </c>
      <c r="B165" s="34" t="s">
        <v>78</v>
      </c>
      <c r="C165" s="458"/>
      <c r="D165" s="8">
        <f>ROUND(D33*(SUM($C$39:$C$46)),2)</f>
        <v>0</v>
      </c>
    </row>
    <row r="166" spans="1:5" x14ac:dyDescent="0.2">
      <c r="A166" s="6" t="s">
        <v>83</v>
      </c>
      <c r="B166" s="34" t="s">
        <v>80</v>
      </c>
      <c r="C166" s="458"/>
      <c r="D166" s="8">
        <f>ROUND(D34*(SUM($C$39:$C$46)),2)</f>
        <v>0</v>
      </c>
    </row>
    <row r="167" spans="1:5" x14ac:dyDescent="0.2">
      <c r="A167" s="460" t="s">
        <v>29</v>
      </c>
      <c r="B167" s="461"/>
      <c r="C167" s="462"/>
      <c r="D167" s="45">
        <f>SUM(D159:D166)</f>
        <v>0</v>
      </c>
    </row>
    <row r="168" spans="1:5" x14ac:dyDescent="0.2">
      <c r="B168" s="96"/>
      <c r="C168" s="96"/>
      <c r="D168" s="96"/>
    </row>
    <row r="169" spans="1:5" s="67" customFormat="1" ht="41.25" customHeight="1" x14ac:dyDescent="0.2">
      <c r="A169" s="452" t="s">
        <v>289</v>
      </c>
      <c r="B169" s="452"/>
      <c r="C169" s="452"/>
      <c r="D169" s="452"/>
      <c r="E169" s="128"/>
    </row>
    <row r="170" spans="1:5" x14ac:dyDescent="0.2">
      <c r="A170" s="97"/>
      <c r="B170" s="97"/>
      <c r="C170" s="97"/>
      <c r="D170" s="97"/>
      <c r="E170" s="97"/>
    </row>
    <row r="171" spans="1:5" ht="41.25" customHeight="1" x14ac:dyDescent="0.2">
      <c r="A171" s="453" t="s">
        <v>290</v>
      </c>
      <c r="B171" s="453"/>
      <c r="C171" s="453"/>
      <c r="D171" s="453"/>
      <c r="E171" s="97"/>
    </row>
    <row r="172" spans="1:5" x14ac:dyDescent="0.2">
      <c r="A172" s="97"/>
      <c r="B172" s="97"/>
      <c r="C172" s="97"/>
      <c r="D172" s="97"/>
      <c r="E172" s="97"/>
    </row>
    <row r="173" spans="1:5" x14ac:dyDescent="0.2">
      <c r="A173" s="97"/>
      <c r="B173" s="97"/>
      <c r="C173" s="97"/>
      <c r="D173" s="97"/>
      <c r="E173" s="97"/>
    </row>
    <row r="174" spans="1:5" x14ac:dyDescent="0.2">
      <c r="A174" s="97"/>
      <c r="B174" s="97"/>
      <c r="C174" s="97"/>
      <c r="D174" s="97"/>
      <c r="E174" s="97"/>
    </row>
    <row r="175" spans="1:5" x14ac:dyDescent="0.2">
      <c r="A175" s="97"/>
      <c r="B175" s="97"/>
      <c r="C175" s="97"/>
      <c r="D175" s="97"/>
      <c r="E175" s="97"/>
    </row>
    <row r="176" spans="1:5" x14ac:dyDescent="0.2">
      <c r="A176" s="97"/>
      <c r="B176" s="97"/>
      <c r="C176" s="97"/>
      <c r="D176" s="97"/>
      <c r="E176" s="97"/>
    </row>
    <row r="177" spans="1:5" x14ac:dyDescent="0.2">
      <c r="A177" s="97"/>
      <c r="B177" s="97"/>
      <c r="C177" s="97"/>
      <c r="D177" s="97"/>
      <c r="E177" s="97"/>
    </row>
    <row r="178" spans="1:5" x14ac:dyDescent="0.2">
      <c r="A178" s="97"/>
      <c r="B178" s="97"/>
      <c r="C178" s="97"/>
      <c r="D178" s="97"/>
      <c r="E178" s="97"/>
    </row>
    <row r="179" spans="1:5" x14ac:dyDescent="0.2">
      <c r="A179" s="97"/>
      <c r="B179" s="97"/>
      <c r="C179" s="97"/>
      <c r="D179" s="97"/>
      <c r="E179" s="97"/>
    </row>
    <row r="180" spans="1:5" x14ac:dyDescent="0.2">
      <c r="A180" s="97"/>
      <c r="B180" s="97"/>
      <c r="C180" s="97"/>
      <c r="D180" s="97"/>
      <c r="E180" s="97"/>
    </row>
    <row r="181" spans="1:5" x14ac:dyDescent="0.2">
      <c r="A181" s="97"/>
      <c r="B181" s="97"/>
      <c r="C181" s="97"/>
      <c r="D181" s="97"/>
      <c r="E181" s="97"/>
    </row>
    <row r="182" spans="1:5" x14ac:dyDescent="0.2">
      <c r="A182" s="97"/>
      <c r="B182" s="97"/>
      <c r="C182" s="97"/>
      <c r="D182" s="97"/>
      <c r="E182" s="97"/>
    </row>
    <row r="183" spans="1:5" x14ac:dyDescent="0.2">
      <c r="A183" s="97"/>
      <c r="B183" s="97"/>
      <c r="C183" s="97"/>
      <c r="D183" s="97"/>
      <c r="E183" s="97"/>
    </row>
    <row r="184" spans="1:5" x14ac:dyDescent="0.2">
      <c r="A184" s="97"/>
      <c r="B184" s="97"/>
      <c r="C184" s="97"/>
      <c r="D184" s="97"/>
      <c r="E184" s="97"/>
    </row>
    <row r="185" spans="1:5" x14ac:dyDescent="0.2">
      <c r="A185" s="97"/>
      <c r="B185" s="97"/>
      <c r="C185" s="97"/>
      <c r="D185" s="97"/>
      <c r="E185" s="97"/>
    </row>
  </sheetData>
  <mergeCells count="85">
    <mergeCell ref="C8:D8"/>
    <mergeCell ref="A1:D1"/>
    <mergeCell ref="A4:D4"/>
    <mergeCell ref="C5:D5"/>
    <mergeCell ref="C6:D6"/>
    <mergeCell ref="C7:D7"/>
    <mergeCell ref="A25:C25"/>
    <mergeCell ref="C9:D9"/>
    <mergeCell ref="A11:D11"/>
    <mergeCell ref="B13:C13"/>
    <mergeCell ref="B16:C16"/>
    <mergeCell ref="B17:C17"/>
    <mergeCell ref="B18:C18"/>
    <mergeCell ref="B19:C19"/>
    <mergeCell ref="B20:C20"/>
    <mergeCell ref="B22:C22"/>
    <mergeCell ref="B23:C23"/>
    <mergeCell ref="B24:C24"/>
    <mergeCell ref="B69:C69"/>
    <mergeCell ref="A27:D27"/>
    <mergeCell ref="A29:D29"/>
    <mergeCell ref="A35:C35"/>
    <mergeCell ref="A37:D37"/>
    <mergeCell ref="A49:D49"/>
    <mergeCell ref="B61:C61"/>
    <mergeCell ref="A63:B63"/>
    <mergeCell ref="A65:D65"/>
    <mergeCell ref="B66:C66"/>
    <mergeCell ref="B67:C67"/>
    <mergeCell ref="B68:C68"/>
    <mergeCell ref="B92:C92"/>
    <mergeCell ref="A70:C70"/>
    <mergeCell ref="A72:D72"/>
    <mergeCell ref="A81:C81"/>
    <mergeCell ref="A83:D83"/>
    <mergeCell ref="A85:D85"/>
    <mergeCell ref="B86:C86"/>
    <mergeCell ref="B87:C87"/>
    <mergeCell ref="B88:C88"/>
    <mergeCell ref="B89:C89"/>
    <mergeCell ref="B90:C90"/>
    <mergeCell ref="B91:C91"/>
    <mergeCell ref="A106:C106"/>
    <mergeCell ref="B93:C93"/>
    <mergeCell ref="B94:C94"/>
    <mergeCell ref="A95:C95"/>
    <mergeCell ref="B97:C97"/>
    <mergeCell ref="B98:C98"/>
    <mergeCell ref="B99:C99"/>
    <mergeCell ref="B100:C100"/>
    <mergeCell ref="B101:C101"/>
    <mergeCell ref="A102:C102"/>
    <mergeCell ref="B104:C104"/>
    <mergeCell ref="B105:C105"/>
    <mergeCell ref="B124:C124"/>
    <mergeCell ref="A108:D108"/>
    <mergeCell ref="B109:C109"/>
    <mergeCell ref="B110:C110"/>
    <mergeCell ref="B111:C111"/>
    <mergeCell ref="B112:C112"/>
    <mergeCell ref="A113:C113"/>
    <mergeCell ref="A115:D115"/>
    <mergeCell ref="B117:C117"/>
    <mergeCell ref="B118:C118"/>
    <mergeCell ref="B120:C120"/>
    <mergeCell ref="B122:C122"/>
    <mergeCell ref="B152:C152"/>
    <mergeCell ref="A126:C126"/>
    <mergeCell ref="A128:D128"/>
    <mergeCell ref="A133:C133"/>
    <mergeCell ref="A134:C134"/>
    <mergeCell ref="A144:B144"/>
    <mergeCell ref="A146:D146"/>
    <mergeCell ref="B147:C147"/>
    <mergeCell ref="B148:C148"/>
    <mergeCell ref="B149:C149"/>
    <mergeCell ref="B150:C150"/>
    <mergeCell ref="B151:C151"/>
    <mergeCell ref="A171:D171"/>
    <mergeCell ref="B153:C153"/>
    <mergeCell ref="A155:C155"/>
    <mergeCell ref="A157:D157"/>
    <mergeCell ref="C164:C166"/>
    <mergeCell ref="A167:C167"/>
    <mergeCell ref="A169:D169"/>
  </mergeCells>
  <pageMargins left="1.2204724409448819" right="0.15748031496062992" top="0.39370078740157483" bottom="0.78740157480314965" header="0.31496062992125984" footer="0.31496062992125984"/>
  <pageSetup paperSize="9" scale="90" orientation="portrait" r:id="rId1"/>
  <headerFooter>
    <oddFooter>&amp;A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sheetPr>
    <tabColor rgb="FF0070C0"/>
  </sheetPr>
  <dimension ref="A1:D244"/>
  <sheetViews>
    <sheetView workbookViewId="0">
      <selection activeCell="B6" sqref="B6"/>
    </sheetView>
  </sheetViews>
  <sheetFormatPr defaultRowHeight="12.75" x14ac:dyDescent="0.2"/>
  <cols>
    <col min="1" max="1" width="64.5" customWidth="1"/>
    <col min="2" max="3" width="12.25" bestFit="1" customWidth="1"/>
    <col min="4" max="4" width="9.375" bestFit="1" customWidth="1"/>
    <col min="5" max="5" width="69.125" customWidth="1"/>
  </cols>
  <sheetData>
    <row r="1" spans="1:3" ht="34.5" customHeight="1" x14ac:dyDescent="0.25">
      <c r="A1" s="598" t="s">
        <v>431</v>
      </c>
      <c r="B1" s="598"/>
      <c r="C1" s="598"/>
    </row>
    <row r="2" spans="1:3" x14ac:dyDescent="0.2">
      <c r="A2" s="67"/>
    </row>
    <row r="3" spans="1:3" x14ac:dyDescent="0.2">
      <c r="A3" s="6" t="s">
        <v>345</v>
      </c>
      <c r="B3" s="6">
        <v>220</v>
      </c>
    </row>
    <row r="4" spans="1:3" x14ac:dyDescent="0.2">
      <c r="A4" s="6" t="s">
        <v>228</v>
      </c>
      <c r="B4" s="6">
        <v>365.25</v>
      </c>
    </row>
    <row r="5" spans="1:3" x14ac:dyDescent="0.2">
      <c r="A5" s="6" t="s">
        <v>230</v>
      </c>
      <c r="B5" s="51">
        <f>(365.25/12)/(7/5)</f>
        <v>21.741071428571431</v>
      </c>
    </row>
    <row r="6" spans="1:3" x14ac:dyDescent="0.2">
      <c r="A6" s="34" t="s">
        <v>30</v>
      </c>
      <c r="B6" s="18">
        <f>+'Vigilante Xerem 44h des'!D13</f>
        <v>0</v>
      </c>
    </row>
    <row r="7" spans="1:3" x14ac:dyDescent="0.2">
      <c r="A7" s="34" t="s">
        <v>241</v>
      </c>
      <c r="B7" s="18">
        <f>+'Vigilante Xerem 44h des'!D25</f>
        <v>0</v>
      </c>
    </row>
    <row r="9" spans="1:3" x14ac:dyDescent="0.2">
      <c r="A9" s="503" t="s">
        <v>209</v>
      </c>
      <c r="B9" s="503"/>
      <c r="C9" s="503"/>
    </row>
    <row r="10" spans="1:3" x14ac:dyDescent="0.2">
      <c r="A10" s="6" t="s">
        <v>30</v>
      </c>
      <c r="B10" s="52"/>
      <c r="C10" s="90">
        <f>+'Vigilante Xerem 44h des'!D13</f>
        <v>0</v>
      </c>
    </row>
    <row r="11" spans="1:3" x14ac:dyDescent="0.2">
      <c r="A11" s="6" t="s">
        <v>31</v>
      </c>
      <c r="B11" s="52"/>
      <c r="C11" s="90">
        <f>+'Vigilante Xerem 44h des'!D14</f>
        <v>0</v>
      </c>
    </row>
    <row r="12" spans="1:3" x14ac:dyDescent="0.2">
      <c r="A12" s="6" t="s">
        <v>32</v>
      </c>
      <c r="B12" s="52"/>
      <c r="C12" s="90">
        <f>+'Vigilante Xerem 44h des'!D15</f>
        <v>0</v>
      </c>
    </row>
    <row r="13" spans="1:3" x14ac:dyDescent="0.2">
      <c r="A13" s="6" t="s">
        <v>33</v>
      </c>
      <c r="B13" s="52"/>
      <c r="C13" s="90">
        <f>+'Vigilante Xerem 44h des'!D16</f>
        <v>0</v>
      </c>
    </row>
    <row r="14" spans="1:3" x14ac:dyDescent="0.2">
      <c r="A14" s="6" t="s">
        <v>34</v>
      </c>
      <c r="B14" s="52"/>
      <c r="C14" s="90">
        <f>+'Vigilante Xerem 44h des'!D17</f>
        <v>0</v>
      </c>
    </row>
    <row r="15" spans="1:3" x14ac:dyDescent="0.2">
      <c r="A15" t="s">
        <v>65</v>
      </c>
      <c r="B15" s="52"/>
      <c r="C15" s="90">
        <f>+'Vigilante Xerem 44h des'!D21</f>
        <v>0</v>
      </c>
    </row>
    <row r="16" spans="1:3" x14ac:dyDescent="0.2">
      <c r="A16" s="6" t="s">
        <v>344</v>
      </c>
      <c r="B16" s="52"/>
      <c r="C16" s="90">
        <f>+'Vigilante Xerem 44h des'!D23</f>
        <v>0</v>
      </c>
    </row>
    <row r="17" spans="1:3" x14ac:dyDescent="0.2">
      <c r="A17" s="35" t="s">
        <v>193</v>
      </c>
      <c r="B17" s="101"/>
      <c r="C17" s="102">
        <f>SUM(C10:C16)</f>
        <v>0</v>
      </c>
    </row>
    <row r="18" spans="1:3" x14ac:dyDescent="0.2">
      <c r="A18" s="6" t="s">
        <v>102</v>
      </c>
      <c r="B18" s="57">
        <f>+B3</f>
        <v>220</v>
      </c>
      <c r="C18" s="54"/>
    </row>
    <row r="19" spans="1:3" x14ac:dyDescent="0.2">
      <c r="A19" s="35" t="s">
        <v>103</v>
      </c>
      <c r="B19" s="101"/>
      <c r="C19" s="36">
        <f>+C17/B18</f>
        <v>0</v>
      </c>
    </row>
    <row r="20" spans="1:3" x14ac:dyDescent="0.2">
      <c r="A20" s="6" t="s">
        <v>197</v>
      </c>
      <c r="B20" s="6">
        <v>12</v>
      </c>
      <c r="C20" s="54"/>
    </row>
    <row r="21" spans="1:3" x14ac:dyDescent="0.2">
      <c r="A21" s="6" t="s">
        <v>198</v>
      </c>
      <c r="B21" s="6">
        <f>44/5</f>
        <v>8.8000000000000007</v>
      </c>
      <c r="C21" s="54"/>
    </row>
    <row r="22" spans="1:3" x14ac:dyDescent="0.2">
      <c r="A22" s="6" t="s">
        <v>199</v>
      </c>
      <c r="B22" s="6">
        <f>+B21*B20</f>
        <v>105.60000000000001</v>
      </c>
      <c r="C22" s="8">
        <f>+B22*C19</f>
        <v>0</v>
      </c>
    </row>
    <row r="23" spans="1:3" x14ac:dyDescent="0.2">
      <c r="A23" s="6" t="s">
        <v>200</v>
      </c>
      <c r="B23" s="17">
        <v>1</v>
      </c>
      <c r="C23" s="8">
        <f>+B23*C22</f>
        <v>0</v>
      </c>
    </row>
    <row r="24" spans="1:3" x14ac:dyDescent="0.2">
      <c r="A24" s="6" t="s">
        <v>201</v>
      </c>
      <c r="B24" s="17">
        <v>1</v>
      </c>
      <c r="C24" s="8">
        <f>+B24*C23</f>
        <v>0</v>
      </c>
    </row>
    <row r="25" spans="1:3" x14ac:dyDescent="0.2">
      <c r="A25" s="6" t="s">
        <v>202</v>
      </c>
      <c r="B25" s="6">
        <v>12</v>
      </c>
      <c r="C25" s="91"/>
    </row>
    <row r="26" spans="1:3" x14ac:dyDescent="0.2">
      <c r="A26" s="504" t="s">
        <v>203</v>
      </c>
      <c r="B26" s="505"/>
      <c r="C26" s="45">
        <f>+C24/B25</f>
        <v>0</v>
      </c>
    </row>
    <row r="27" spans="1:3" x14ac:dyDescent="0.2">
      <c r="C27" s="15"/>
    </row>
    <row r="28" spans="1:3" x14ac:dyDescent="0.2">
      <c r="A28" s="503" t="s">
        <v>210</v>
      </c>
      <c r="B28" s="503"/>
      <c r="C28" s="503"/>
    </row>
    <row r="29" spans="1:3" x14ac:dyDescent="0.2">
      <c r="A29" s="6" t="s">
        <v>103</v>
      </c>
      <c r="B29" s="52"/>
      <c r="C29" s="90">
        <v>0</v>
      </c>
    </row>
    <row r="30" spans="1:3" x14ac:dyDescent="0.2">
      <c r="A30" s="6" t="s">
        <v>199</v>
      </c>
      <c r="B30" s="6">
        <v>192</v>
      </c>
      <c r="C30" s="54"/>
    </row>
    <row r="31" spans="1:3" x14ac:dyDescent="0.2">
      <c r="A31" s="6" t="s">
        <v>204</v>
      </c>
      <c r="B31" s="6">
        <f>+$B$4</f>
        <v>365.25</v>
      </c>
      <c r="C31" s="54"/>
    </row>
    <row r="32" spans="1:3" x14ac:dyDescent="0.2">
      <c r="A32" s="6" t="s">
        <v>197</v>
      </c>
      <c r="B32" s="6">
        <v>12</v>
      </c>
      <c r="C32" s="54"/>
    </row>
    <row r="33" spans="1:3" x14ac:dyDescent="0.2">
      <c r="A33" s="6" t="s">
        <v>200</v>
      </c>
      <c r="B33" s="17">
        <v>1</v>
      </c>
      <c r="C33" s="54"/>
    </row>
    <row r="34" spans="1:3" x14ac:dyDescent="0.2">
      <c r="A34" s="6" t="s">
        <v>205</v>
      </c>
      <c r="B34" s="92">
        <f>ROUND(((B31/7)*6)-B32,2)</f>
        <v>301.07</v>
      </c>
      <c r="C34" s="54"/>
    </row>
    <row r="35" spans="1:3" x14ac:dyDescent="0.2">
      <c r="A35" s="6" t="s">
        <v>206</v>
      </c>
      <c r="B35" s="34">
        <v>12</v>
      </c>
      <c r="C35" s="54"/>
    </row>
    <row r="36" spans="1:3" ht="25.5" x14ac:dyDescent="0.2">
      <c r="A36" s="30" t="s">
        <v>207</v>
      </c>
      <c r="B36" s="6">
        <f>+((B30/B35)*B33)/B34</f>
        <v>5.3143787159132427E-2</v>
      </c>
      <c r="C36" s="54"/>
    </row>
    <row r="37" spans="1:3" x14ac:dyDescent="0.2">
      <c r="A37" s="24" t="s">
        <v>208</v>
      </c>
      <c r="B37" s="24"/>
      <c r="C37" s="45">
        <f>+C29*(B31-B34)*B36</f>
        <v>0</v>
      </c>
    </row>
    <row r="38" spans="1:3" x14ac:dyDescent="0.2">
      <c r="C38" s="15"/>
    </row>
    <row r="39" spans="1:3" x14ac:dyDescent="0.2">
      <c r="A39" s="503" t="s">
        <v>343</v>
      </c>
      <c r="B39" s="503"/>
      <c r="C39" s="503"/>
    </row>
    <row r="40" spans="1:3" x14ac:dyDescent="0.2">
      <c r="A40" s="6" t="s">
        <v>30</v>
      </c>
      <c r="B40" s="52"/>
      <c r="C40" s="90">
        <v>0</v>
      </c>
    </row>
    <row r="41" spans="1:3" x14ac:dyDescent="0.2">
      <c r="A41" s="6" t="s">
        <v>102</v>
      </c>
      <c r="B41" s="57">
        <f>+B3</f>
        <v>220</v>
      </c>
      <c r="C41" s="54"/>
    </row>
    <row r="42" spans="1:3" x14ac:dyDescent="0.2">
      <c r="A42" s="35" t="s">
        <v>103</v>
      </c>
      <c r="B42" s="101"/>
      <c r="C42" s="36">
        <f>+C40/B41</f>
        <v>0</v>
      </c>
    </row>
    <row r="43" spans="1:3" s="60" customFormat="1" x14ac:dyDescent="0.2">
      <c r="A43" s="6" t="s">
        <v>351</v>
      </c>
      <c r="B43" s="17">
        <v>0.5</v>
      </c>
      <c r="C43" s="181"/>
    </row>
    <row r="44" spans="1:3" s="60" customFormat="1" x14ac:dyDescent="0.2">
      <c r="A44" s="35" t="s">
        <v>352</v>
      </c>
      <c r="B44" s="104"/>
      <c r="C44" s="181">
        <f>+C42*(1+B43)</f>
        <v>0</v>
      </c>
    </row>
    <row r="45" spans="1:3" x14ac:dyDescent="0.2">
      <c r="A45" s="34" t="s">
        <v>346</v>
      </c>
      <c r="B45" s="6">
        <v>8.8000000000000007</v>
      </c>
      <c r="C45" s="54"/>
    </row>
    <row r="46" spans="1:3" x14ac:dyDescent="0.2">
      <c r="A46" s="6" t="s">
        <v>230</v>
      </c>
      <c r="B46" s="180">
        <f>+B5</f>
        <v>21.741071428571431</v>
      </c>
      <c r="C46" s="54"/>
    </row>
    <row r="47" spans="1:3" x14ac:dyDescent="0.2">
      <c r="A47" s="34" t="s">
        <v>347</v>
      </c>
      <c r="B47" s="6">
        <v>192</v>
      </c>
      <c r="C47" s="54"/>
    </row>
    <row r="48" spans="1:3" x14ac:dyDescent="0.2">
      <c r="A48" s="34" t="s">
        <v>348</v>
      </c>
      <c r="B48" s="6">
        <f>ROUND(+B46*B45,2)</f>
        <v>191.32</v>
      </c>
      <c r="C48" s="54"/>
    </row>
    <row r="49" spans="1:3" x14ac:dyDescent="0.2">
      <c r="A49" s="34" t="s">
        <v>349</v>
      </c>
      <c r="B49" s="6">
        <f>+B48-B47</f>
        <v>-0.68000000000000682</v>
      </c>
      <c r="C49" s="54"/>
    </row>
    <row r="50" spans="1:3" x14ac:dyDescent="0.2">
      <c r="A50" s="24" t="s">
        <v>350</v>
      </c>
      <c r="B50" s="24"/>
      <c r="C50" s="45">
        <f>+B49*C44</f>
        <v>0</v>
      </c>
    </row>
    <row r="51" spans="1:3" x14ac:dyDescent="0.2">
      <c r="C51" s="15"/>
    </row>
    <row r="52" spans="1:3" x14ac:dyDescent="0.2">
      <c r="A52" s="459" t="s">
        <v>107</v>
      </c>
      <c r="B52" s="459"/>
      <c r="C52" s="459"/>
    </row>
    <row r="53" spans="1:3" x14ac:dyDescent="0.2">
      <c r="A53" s="55" t="s">
        <v>30</v>
      </c>
      <c r="B53" s="86"/>
      <c r="C53" s="56">
        <v>0</v>
      </c>
    </row>
    <row r="54" spans="1:3" x14ac:dyDescent="0.2">
      <c r="A54" s="55" t="s">
        <v>31</v>
      </c>
      <c r="B54" s="58"/>
      <c r="C54" s="56">
        <f>+'Vigilante Xerem 44h des'!D14</f>
        <v>0</v>
      </c>
    </row>
    <row r="55" spans="1:3" x14ac:dyDescent="0.2">
      <c r="A55" s="55" t="s">
        <v>32</v>
      </c>
      <c r="B55" s="58"/>
      <c r="C55" s="56">
        <f>+'Vigilante Xerem 44h des'!D15</f>
        <v>0</v>
      </c>
    </row>
    <row r="56" spans="1:3" x14ac:dyDescent="0.2">
      <c r="A56" s="55" t="s">
        <v>33</v>
      </c>
      <c r="B56" s="58"/>
      <c r="C56" s="56">
        <f>+'Vigilante Xerem 44h des'!D16</f>
        <v>0</v>
      </c>
    </row>
    <row r="57" spans="1:3" x14ac:dyDescent="0.2">
      <c r="A57" s="55" t="s">
        <v>34</v>
      </c>
      <c r="B57" s="58"/>
      <c r="C57" s="56">
        <f>+'Vigilante Xerem 44h des'!D17</f>
        <v>0</v>
      </c>
    </row>
    <row r="58" spans="1:3" x14ac:dyDescent="0.2">
      <c r="A58" s="55" t="s">
        <v>35</v>
      </c>
      <c r="B58" s="58"/>
      <c r="C58" s="56">
        <f>+'Vigilante Xerem 44h des'!D19</f>
        <v>0</v>
      </c>
    </row>
    <row r="59" spans="1:3" x14ac:dyDescent="0.2">
      <c r="A59" s="55" t="s">
        <v>65</v>
      </c>
      <c r="B59" s="58"/>
      <c r="C59" s="56">
        <f>+'Vigilante Xerem 44h des'!D21</f>
        <v>0</v>
      </c>
    </row>
    <row r="60" spans="1:3" x14ac:dyDescent="0.2">
      <c r="A60" s="35" t="s">
        <v>101</v>
      </c>
      <c r="B60" s="99"/>
      <c r="C60" s="100">
        <f>SUM(C53:C59)</f>
        <v>0</v>
      </c>
    </row>
    <row r="61" spans="1:3" x14ac:dyDescent="0.2">
      <c r="A61" s="6" t="s">
        <v>102</v>
      </c>
      <c r="B61" s="57">
        <f>+B3</f>
        <v>220</v>
      </c>
      <c r="C61" s="58"/>
    </row>
    <row r="62" spans="1:3" x14ac:dyDescent="0.2">
      <c r="A62" s="6" t="s">
        <v>103</v>
      </c>
      <c r="B62" s="58"/>
      <c r="C62" s="59">
        <f>ROUND(+C60/B61,2)</f>
        <v>0</v>
      </c>
    </row>
    <row r="63" spans="1:3" x14ac:dyDescent="0.2">
      <c r="A63" s="6" t="s">
        <v>229</v>
      </c>
      <c r="B63" s="51">
        <f>(365.25/12)/(7/5)</f>
        <v>21.741071428571431</v>
      </c>
      <c r="C63" s="58"/>
    </row>
    <row r="64" spans="1:3" x14ac:dyDescent="0.2">
      <c r="A64" s="6" t="s">
        <v>105</v>
      </c>
      <c r="B64" s="17">
        <v>0.5</v>
      </c>
      <c r="C64" s="6"/>
    </row>
    <row r="65" spans="1:3" x14ac:dyDescent="0.2">
      <c r="A65" s="504" t="s">
        <v>106</v>
      </c>
      <c r="B65" s="505"/>
      <c r="C65" s="45">
        <f>ROUND((B63*C62)*(1+B64),2)</f>
        <v>0</v>
      </c>
    </row>
    <row r="67" spans="1:3" x14ac:dyDescent="0.2">
      <c r="A67" s="459" t="s">
        <v>212</v>
      </c>
      <c r="B67" s="459"/>
      <c r="C67" s="459"/>
    </row>
    <row r="68" spans="1:3" x14ac:dyDescent="0.2">
      <c r="A68" s="6" t="s">
        <v>204</v>
      </c>
      <c r="B68" s="6">
        <v>365.25</v>
      </c>
      <c r="C68" s="52"/>
    </row>
    <row r="69" spans="1:3" x14ac:dyDescent="0.2">
      <c r="A69" s="6" t="s">
        <v>206</v>
      </c>
      <c r="B69" s="34">
        <v>12</v>
      </c>
      <c r="C69" s="52"/>
    </row>
    <row r="70" spans="1:3" x14ac:dyDescent="0.2">
      <c r="A70" s="6" t="s">
        <v>213</v>
      </c>
      <c r="B70" s="17">
        <v>1</v>
      </c>
      <c r="C70" s="52"/>
    </row>
    <row r="71" spans="1:3" x14ac:dyDescent="0.2">
      <c r="A71" s="103" t="s">
        <v>404</v>
      </c>
      <c r="B71" s="34">
        <v>7</v>
      </c>
      <c r="C71" s="52"/>
    </row>
    <row r="72" spans="1:3" x14ac:dyDescent="0.2">
      <c r="A72" s="34" t="s">
        <v>214</v>
      </c>
      <c r="B72" s="52"/>
      <c r="C72" s="18"/>
    </row>
    <row r="73" spans="1:3" x14ac:dyDescent="0.2">
      <c r="A73" s="34" t="s">
        <v>31</v>
      </c>
      <c r="B73" s="52"/>
      <c r="C73" s="18"/>
    </row>
    <row r="74" spans="1:3" x14ac:dyDescent="0.2">
      <c r="A74" s="34" t="s">
        <v>32</v>
      </c>
      <c r="B74" s="52"/>
      <c r="C74" s="18"/>
    </row>
    <row r="75" spans="1:3" x14ac:dyDescent="0.2">
      <c r="A75" s="104" t="s">
        <v>193</v>
      </c>
      <c r="B75" s="52"/>
      <c r="C75" s="105">
        <f>SUM(C72:C74)</f>
        <v>0</v>
      </c>
    </row>
    <row r="76" spans="1:3" x14ac:dyDescent="0.2">
      <c r="A76" s="6" t="s">
        <v>102</v>
      </c>
      <c r="B76" s="106">
        <f>+B3</f>
        <v>220</v>
      </c>
      <c r="C76" s="52"/>
    </row>
    <row r="77" spans="1:3" x14ac:dyDescent="0.2">
      <c r="A77" s="34" t="s">
        <v>215</v>
      </c>
      <c r="B77" s="17">
        <v>0.2</v>
      </c>
      <c r="C77" s="52"/>
    </row>
    <row r="78" spans="1:3" x14ac:dyDescent="0.2">
      <c r="A78" s="34" t="s">
        <v>216</v>
      </c>
      <c r="B78" s="52"/>
      <c r="C78" s="8">
        <f>ROUND((C75/B76)*B77,2)</f>
        <v>0</v>
      </c>
    </row>
    <row r="79" spans="1:3" x14ac:dyDescent="0.2">
      <c r="A79" s="34" t="s">
        <v>217</v>
      </c>
      <c r="B79" s="6">
        <f>ROUND(+B68/B69*B70*B71,0)</f>
        <v>213</v>
      </c>
      <c r="C79" s="53"/>
    </row>
    <row r="80" spans="1:3" x14ac:dyDescent="0.2">
      <c r="A80" s="506" t="s">
        <v>218</v>
      </c>
      <c r="B80" s="506"/>
      <c r="C80" s="32">
        <f>ROUND(+B79*C78,2)</f>
        <v>0</v>
      </c>
    </row>
    <row r="82" spans="1:4" x14ac:dyDescent="0.2">
      <c r="A82" s="503" t="s">
        <v>232</v>
      </c>
      <c r="B82" s="503"/>
      <c r="C82" s="503"/>
    </row>
    <row r="83" spans="1:4" x14ac:dyDescent="0.2">
      <c r="A83" s="6" t="s">
        <v>103</v>
      </c>
      <c r="B83" s="52"/>
      <c r="C83" s="90">
        <f>+C80</f>
        <v>0</v>
      </c>
    </row>
    <row r="84" spans="1:4" x14ac:dyDescent="0.2">
      <c r="A84" s="6" t="s">
        <v>199</v>
      </c>
      <c r="B84" s="6">
        <v>192</v>
      </c>
      <c r="C84" s="54"/>
    </row>
    <row r="85" spans="1:4" x14ac:dyDescent="0.2">
      <c r="A85" s="6" t="s">
        <v>204</v>
      </c>
      <c r="B85" s="6">
        <f>+$B$4</f>
        <v>365.25</v>
      </c>
      <c r="C85" s="54"/>
    </row>
    <row r="86" spans="1:4" x14ac:dyDescent="0.2">
      <c r="A86" s="6" t="s">
        <v>197</v>
      </c>
      <c r="B86" s="6">
        <v>12</v>
      </c>
      <c r="C86" s="54"/>
    </row>
    <row r="87" spans="1:4" x14ac:dyDescent="0.2">
      <c r="A87" s="6" t="s">
        <v>200</v>
      </c>
      <c r="B87" s="17">
        <v>1</v>
      </c>
      <c r="C87" s="54"/>
    </row>
    <row r="88" spans="1:4" x14ac:dyDescent="0.2">
      <c r="A88" s="6" t="s">
        <v>205</v>
      </c>
      <c r="B88" s="92">
        <f>ROUND(((B85/7)*6)-B86,2)</f>
        <v>301.07</v>
      </c>
      <c r="C88" s="54"/>
    </row>
    <row r="89" spans="1:4" x14ac:dyDescent="0.2">
      <c r="A89" s="6" t="s">
        <v>206</v>
      </c>
      <c r="B89" s="34">
        <v>12</v>
      </c>
      <c r="C89" s="54"/>
    </row>
    <row r="90" spans="1:4" ht="25.5" x14ac:dyDescent="0.2">
      <c r="A90" s="30" t="s">
        <v>207</v>
      </c>
      <c r="B90" s="6">
        <f>+((B84/B89)*B87)/B88</f>
        <v>5.3143787159132427E-2</v>
      </c>
      <c r="C90" s="54"/>
    </row>
    <row r="91" spans="1:4" x14ac:dyDescent="0.2">
      <c r="A91" s="24" t="s">
        <v>208</v>
      </c>
      <c r="B91" s="24"/>
      <c r="C91" s="45">
        <f>+C83/B84*(B85-B88)*B90</f>
        <v>0</v>
      </c>
    </row>
    <row r="93" spans="1:4" x14ac:dyDescent="0.2">
      <c r="A93" s="459" t="s">
        <v>219</v>
      </c>
      <c r="B93" s="459"/>
      <c r="C93" s="459"/>
    </row>
    <row r="94" spans="1:4" x14ac:dyDescent="0.2">
      <c r="A94" s="6" t="s">
        <v>204</v>
      </c>
      <c r="B94" s="6">
        <f>+$B$4</f>
        <v>365.25</v>
      </c>
      <c r="C94" s="52"/>
    </row>
    <row r="95" spans="1:4" x14ac:dyDescent="0.2">
      <c r="A95" s="6" t="s">
        <v>206</v>
      </c>
      <c r="B95" s="34">
        <v>12</v>
      </c>
      <c r="C95" s="52"/>
    </row>
    <row r="96" spans="1:4" x14ac:dyDescent="0.2">
      <c r="A96" s="6" t="s">
        <v>213</v>
      </c>
      <c r="B96" s="17">
        <v>1</v>
      </c>
      <c r="C96" s="52"/>
      <c r="D96" s="109"/>
    </row>
    <row r="97" spans="1:4" x14ac:dyDescent="0.2">
      <c r="A97" s="103" t="s">
        <v>448</v>
      </c>
      <c r="B97" s="34">
        <v>7</v>
      </c>
      <c r="C97" s="52"/>
      <c r="D97" s="109"/>
    </row>
    <row r="98" spans="1:4" x14ac:dyDescent="0.2">
      <c r="A98" s="34" t="s">
        <v>220</v>
      </c>
      <c r="B98" s="51">
        <f>(365.25/12)/(7/5)</f>
        <v>21.741071428571431</v>
      </c>
      <c r="C98" s="6"/>
      <c r="D98" s="109"/>
    </row>
    <row r="99" spans="1:4" x14ac:dyDescent="0.2">
      <c r="A99" s="34" t="s">
        <v>221</v>
      </c>
      <c r="B99" s="6">
        <f>ROUND(+B98*B97,2)</f>
        <v>152.19</v>
      </c>
      <c r="C99" s="6"/>
    </row>
    <row r="100" spans="1:4" x14ac:dyDescent="0.2">
      <c r="A100" s="34" t="s">
        <v>214</v>
      </c>
      <c r="B100" s="52"/>
      <c r="C100" s="18"/>
    </row>
    <row r="101" spans="1:4" x14ac:dyDescent="0.2">
      <c r="A101" s="34" t="s">
        <v>31</v>
      </c>
      <c r="B101" s="52"/>
      <c r="C101" s="18"/>
    </row>
    <row r="102" spans="1:4" x14ac:dyDescent="0.2">
      <c r="A102" s="34" t="s">
        <v>32</v>
      </c>
      <c r="B102" s="52"/>
      <c r="C102" s="18"/>
    </row>
    <row r="103" spans="1:4" x14ac:dyDescent="0.2">
      <c r="A103" s="104" t="s">
        <v>193</v>
      </c>
      <c r="B103" s="52"/>
      <c r="C103" s="105">
        <f>SUM(C100:C102)</f>
        <v>0</v>
      </c>
      <c r="D103" s="88"/>
    </row>
    <row r="104" spans="1:4" x14ac:dyDescent="0.2">
      <c r="A104" s="6" t="s">
        <v>102</v>
      </c>
      <c r="B104" s="106">
        <f>+B3</f>
        <v>220</v>
      </c>
      <c r="C104" s="52"/>
    </row>
    <row r="105" spans="1:4" x14ac:dyDescent="0.2">
      <c r="A105" s="34" t="s">
        <v>215</v>
      </c>
      <c r="B105" s="17">
        <v>0.2</v>
      </c>
      <c r="C105" s="52"/>
    </row>
    <row r="106" spans="1:4" x14ac:dyDescent="0.2">
      <c r="A106" s="34" t="s">
        <v>216</v>
      </c>
      <c r="B106" s="52"/>
      <c r="C106" s="8">
        <f>ROUND((C103/B104)*B105,2)</f>
        <v>0</v>
      </c>
    </row>
    <row r="107" spans="1:4" x14ac:dyDescent="0.2">
      <c r="A107" s="34" t="s">
        <v>223</v>
      </c>
      <c r="B107" s="6">
        <v>60</v>
      </c>
      <c r="C107" s="52"/>
    </row>
    <row r="108" spans="1:4" x14ac:dyDescent="0.2">
      <c r="A108" s="34" t="s">
        <v>222</v>
      </c>
      <c r="B108" s="6">
        <v>52.5</v>
      </c>
      <c r="C108" s="52"/>
    </row>
    <row r="109" spans="1:4" x14ac:dyDescent="0.2">
      <c r="A109" s="34" t="s">
        <v>224</v>
      </c>
      <c r="B109" s="6">
        <f>+B107/B108</f>
        <v>1.1428571428571428</v>
      </c>
      <c r="C109" s="52"/>
    </row>
    <row r="110" spans="1:4" x14ac:dyDescent="0.2">
      <c r="A110" s="34" t="s">
        <v>225</v>
      </c>
      <c r="B110" s="6">
        <f>ROUND(+B109*B99,2)</f>
        <v>173.93</v>
      </c>
      <c r="C110" s="52"/>
    </row>
    <row r="111" spans="1:4" x14ac:dyDescent="0.2">
      <c r="A111" s="34" t="s">
        <v>226</v>
      </c>
      <c r="B111" s="6">
        <f>ROUND(B110-B99,2)</f>
        <v>21.74</v>
      </c>
      <c r="C111" s="53"/>
    </row>
    <row r="112" spans="1:4" x14ac:dyDescent="0.2">
      <c r="A112" s="494" t="s">
        <v>227</v>
      </c>
      <c r="B112" s="494"/>
      <c r="C112" s="71">
        <f>+B111*C106</f>
        <v>0</v>
      </c>
    </row>
    <row r="114" spans="1:3" x14ac:dyDescent="0.2">
      <c r="A114" s="459" t="s">
        <v>233</v>
      </c>
      <c r="B114" s="459"/>
      <c r="C114" s="459"/>
    </row>
    <row r="115" spans="1:3" x14ac:dyDescent="0.2">
      <c r="A115" s="6" t="s">
        <v>204</v>
      </c>
      <c r="B115" s="6">
        <f>+$B$4</f>
        <v>365.25</v>
      </c>
      <c r="C115" s="52"/>
    </row>
    <row r="116" spans="1:3" x14ac:dyDescent="0.2">
      <c r="A116" s="6" t="s">
        <v>206</v>
      </c>
      <c r="B116" s="34">
        <v>12</v>
      </c>
      <c r="C116" s="52"/>
    </row>
    <row r="117" spans="1:3" x14ac:dyDescent="0.2">
      <c r="A117" s="6" t="s">
        <v>213</v>
      </c>
      <c r="B117" s="17">
        <v>1</v>
      </c>
      <c r="C117" s="52"/>
    </row>
    <row r="118" spans="1:3" x14ac:dyDescent="0.2">
      <c r="A118" s="34" t="s">
        <v>234</v>
      </c>
      <c r="B118" s="180">
        <f>+B5</f>
        <v>21.741071428571431</v>
      </c>
      <c r="C118" s="52"/>
    </row>
    <row r="119" spans="1:3" x14ac:dyDescent="0.2">
      <c r="A119" s="205" t="s">
        <v>235</v>
      </c>
      <c r="B119" s="206"/>
      <c r="C119" s="52"/>
    </row>
    <row r="120" spans="1:3" x14ac:dyDescent="0.2">
      <c r="A120" s="6" t="s">
        <v>236</v>
      </c>
      <c r="B120" s="17">
        <v>0.06</v>
      </c>
      <c r="C120" s="52"/>
    </row>
    <row r="121" spans="1:3" x14ac:dyDescent="0.2">
      <c r="A121" s="504" t="s">
        <v>237</v>
      </c>
      <c r="B121" s="505"/>
      <c r="C121" s="45">
        <f>ROUND((B118*(B119*2)-($B$6*B120)),2)</f>
        <v>0</v>
      </c>
    </row>
    <row r="123" spans="1:3" x14ac:dyDescent="0.2">
      <c r="A123" s="459" t="s">
        <v>238</v>
      </c>
      <c r="B123" s="459"/>
      <c r="C123" s="459"/>
    </row>
    <row r="124" spans="1:3" x14ac:dyDescent="0.2">
      <c r="A124" s="6" t="s">
        <v>204</v>
      </c>
      <c r="B124" s="6">
        <f>+$B$4</f>
        <v>365.25</v>
      </c>
      <c r="C124" s="52"/>
    </row>
    <row r="125" spans="1:3" x14ac:dyDescent="0.2">
      <c r="A125" s="6" t="s">
        <v>206</v>
      </c>
      <c r="B125" s="34">
        <v>12</v>
      </c>
      <c r="C125" s="52"/>
    </row>
    <row r="126" spans="1:3" x14ac:dyDescent="0.2">
      <c r="A126" s="6" t="s">
        <v>213</v>
      </c>
      <c r="B126" s="17">
        <v>1</v>
      </c>
      <c r="C126" s="52"/>
    </row>
    <row r="127" spans="1:3" x14ac:dyDescent="0.2">
      <c r="A127" s="34" t="s">
        <v>234</v>
      </c>
      <c r="B127" s="180">
        <f>+B5</f>
        <v>21.741071428571431</v>
      </c>
      <c r="C127" s="52"/>
    </row>
    <row r="128" spans="1:3" x14ac:dyDescent="0.2">
      <c r="A128" s="205" t="s">
        <v>239</v>
      </c>
      <c r="B128" s="206"/>
      <c r="C128" s="52"/>
    </row>
    <row r="129" spans="1:3" x14ac:dyDescent="0.2">
      <c r="A129" s="6" t="s">
        <v>367</v>
      </c>
      <c r="B129" s="17">
        <v>0.2</v>
      </c>
      <c r="C129" s="52"/>
    </row>
    <row r="130" spans="1:3" x14ac:dyDescent="0.2">
      <c r="A130" s="504" t="s">
        <v>239</v>
      </c>
      <c r="B130" s="505"/>
      <c r="C130" s="45">
        <f>ROUND((B127*(B128)-((B127*B128)*B129)),2)</f>
        <v>0</v>
      </c>
    </row>
    <row r="132" spans="1:3" x14ac:dyDescent="0.2">
      <c r="A132" s="459" t="s">
        <v>240</v>
      </c>
      <c r="B132" s="459"/>
      <c r="C132" s="459"/>
    </row>
    <row r="133" spans="1:3" x14ac:dyDescent="0.2">
      <c r="A133" s="6" t="s">
        <v>242</v>
      </c>
      <c r="B133" s="18">
        <f>+B7</f>
        <v>0</v>
      </c>
      <c r="C133" s="52"/>
    </row>
    <row r="134" spans="1:3" x14ac:dyDescent="0.2">
      <c r="A134" s="6" t="s">
        <v>243</v>
      </c>
      <c r="B134" s="6">
        <v>12</v>
      </c>
      <c r="C134" s="52"/>
    </row>
    <row r="135" spans="1:3" x14ac:dyDescent="0.2">
      <c r="A135" s="116" t="s">
        <v>244</v>
      </c>
      <c r="B135" s="114"/>
      <c r="C135" s="52"/>
    </row>
    <row r="136" spans="1:3" x14ac:dyDescent="0.2">
      <c r="A136" s="494" t="s">
        <v>245</v>
      </c>
      <c r="B136" s="494"/>
      <c r="C136" s="45">
        <f>ROUND(+(B133/B134)*B135,2)</f>
        <v>0</v>
      </c>
    </row>
    <row r="138" spans="1:3" x14ac:dyDescent="0.2">
      <c r="A138" s="507" t="s">
        <v>246</v>
      </c>
      <c r="B138" s="508"/>
      <c r="C138" s="509"/>
    </row>
    <row r="139" spans="1:3" s="60" customFormat="1" x14ac:dyDescent="0.2">
      <c r="A139" s="117" t="s">
        <v>251</v>
      </c>
      <c r="B139" s="114">
        <f>+B135</f>
        <v>0</v>
      </c>
      <c r="C139" s="52"/>
    </row>
    <row r="140" spans="1:3" x14ac:dyDescent="0.2">
      <c r="A140" s="6" t="s">
        <v>247</v>
      </c>
      <c r="B140" s="18">
        <f>+'Vigilante Xerem 44h des'!$D$25</f>
        <v>0</v>
      </c>
      <c r="C140" s="52"/>
    </row>
    <row r="141" spans="1:3" x14ac:dyDescent="0.2">
      <c r="A141" s="6" t="s">
        <v>46</v>
      </c>
      <c r="B141" s="18">
        <f>+'Vigilante Xerem 44h des'!$D$31</f>
        <v>0</v>
      </c>
      <c r="C141" s="52"/>
    </row>
    <row r="142" spans="1:3" x14ac:dyDescent="0.2">
      <c r="A142" s="111" t="s">
        <v>45</v>
      </c>
      <c r="B142" s="18">
        <f>+'Vigilante Xerem 44h des'!$D$33</f>
        <v>0</v>
      </c>
      <c r="C142" s="52"/>
    </row>
    <row r="143" spans="1:3" x14ac:dyDescent="0.2">
      <c r="A143" s="111" t="s">
        <v>44</v>
      </c>
      <c r="B143" s="18">
        <f>+'Vigilante Xerem 44h des'!$D$34</f>
        <v>0</v>
      </c>
      <c r="C143" s="52"/>
    </row>
    <row r="144" spans="1:3" x14ac:dyDescent="0.2">
      <c r="A144" s="104" t="s">
        <v>248</v>
      </c>
      <c r="B144" s="105">
        <f>SUM(B140:B143)</f>
        <v>0</v>
      </c>
      <c r="C144" s="52"/>
    </row>
    <row r="145" spans="1:3" x14ac:dyDescent="0.2">
      <c r="A145" s="25" t="s">
        <v>249</v>
      </c>
      <c r="B145" s="17">
        <v>0.4</v>
      </c>
      <c r="C145" s="52"/>
    </row>
    <row r="146" spans="1:3" x14ac:dyDescent="0.2">
      <c r="A146" s="25" t="s">
        <v>250</v>
      </c>
      <c r="B146" s="17">
        <f>+'Vigilante Xerem 44h des'!$C$46</f>
        <v>0.08</v>
      </c>
      <c r="C146" s="52"/>
    </row>
    <row r="147" spans="1:3" x14ac:dyDescent="0.2">
      <c r="A147" s="510" t="s">
        <v>252</v>
      </c>
      <c r="B147" s="510"/>
      <c r="C147" s="73">
        <f>ROUND(+B144*B145*B146*B139,2)</f>
        <v>0</v>
      </c>
    </row>
    <row r="148" spans="1:3" x14ac:dyDescent="0.2">
      <c r="A148" s="25" t="s">
        <v>253</v>
      </c>
      <c r="B148" s="17">
        <v>0.1</v>
      </c>
      <c r="C148" s="52"/>
    </row>
    <row r="149" spans="1:3" x14ac:dyDescent="0.2">
      <c r="A149" s="510" t="s">
        <v>254</v>
      </c>
      <c r="B149" s="510"/>
      <c r="C149" s="112">
        <f>ROUND(B148*B146*B144*B139,2)</f>
        <v>0</v>
      </c>
    </row>
    <row r="150" spans="1:3" x14ac:dyDescent="0.2">
      <c r="A150" s="504" t="s">
        <v>255</v>
      </c>
      <c r="B150" s="505"/>
      <c r="C150" s="71">
        <f>+C149+C147</f>
        <v>0</v>
      </c>
    </row>
    <row r="152" spans="1:3" x14ac:dyDescent="0.2">
      <c r="A152" s="459" t="s">
        <v>256</v>
      </c>
      <c r="B152" s="459"/>
      <c r="C152" s="459"/>
    </row>
    <row r="153" spans="1:3" x14ac:dyDescent="0.2">
      <c r="A153" s="6" t="s">
        <v>242</v>
      </c>
      <c r="B153" s="18">
        <f>+B7</f>
        <v>0</v>
      </c>
      <c r="C153" s="52"/>
    </row>
    <row r="154" spans="1:3" x14ac:dyDescent="0.2">
      <c r="A154" s="6" t="s">
        <v>257</v>
      </c>
      <c r="B154" s="113">
        <v>30</v>
      </c>
      <c r="C154" s="52"/>
    </row>
    <row r="155" spans="1:3" x14ac:dyDescent="0.2">
      <c r="A155" s="6" t="s">
        <v>243</v>
      </c>
      <c r="B155" s="6">
        <v>12</v>
      </c>
      <c r="C155" s="52"/>
    </row>
    <row r="156" spans="1:3" x14ac:dyDescent="0.2">
      <c r="A156" s="6" t="s">
        <v>258</v>
      </c>
      <c r="B156" s="6">
        <v>5</v>
      </c>
      <c r="C156" s="52"/>
    </row>
    <row r="157" spans="1:3" x14ac:dyDescent="0.2">
      <c r="A157" s="116" t="s">
        <v>294</v>
      </c>
      <c r="B157" s="114"/>
      <c r="C157" s="52"/>
    </row>
    <row r="158" spans="1:3" x14ac:dyDescent="0.2">
      <c r="A158" s="494" t="s">
        <v>369</v>
      </c>
      <c r="B158" s="494"/>
      <c r="C158" s="45">
        <f>+ROUND(((B153/B154/B155)*B156)*B157,2)</f>
        <v>0</v>
      </c>
    </row>
    <row r="160" spans="1:3" x14ac:dyDescent="0.2">
      <c r="A160" s="507" t="s">
        <v>259</v>
      </c>
      <c r="B160" s="508"/>
      <c r="C160" s="509"/>
    </row>
    <row r="161" spans="1:3" x14ac:dyDescent="0.2">
      <c r="A161" s="115" t="s">
        <v>260</v>
      </c>
      <c r="B161" s="114">
        <f>+B157</f>
        <v>0</v>
      </c>
      <c r="C161" s="52"/>
    </row>
    <row r="162" spans="1:3" x14ac:dyDescent="0.2">
      <c r="A162" s="6" t="s">
        <v>247</v>
      </c>
      <c r="B162" s="18">
        <f>+'Vigilante Xerem 44h des'!$D$25</f>
        <v>0</v>
      </c>
      <c r="C162" s="52"/>
    </row>
    <row r="163" spans="1:3" x14ac:dyDescent="0.2">
      <c r="A163" s="6" t="s">
        <v>46</v>
      </c>
      <c r="B163" s="18">
        <f>+'Vigilante Xerem 44h des'!$D$31</f>
        <v>0</v>
      </c>
      <c r="C163" s="52"/>
    </row>
    <row r="164" spans="1:3" x14ac:dyDescent="0.2">
      <c r="A164" s="111" t="s">
        <v>45</v>
      </c>
      <c r="B164" s="18">
        <f>+'Vigilante Xerem 44h des'!$D$33</f>
        <v>0</v>
      </c>
      <c r="C164" s="52"/>
    </row>
    <row r="165" spans="1:3" x14ac:dyDescent="0.2">
      <c r="A165" s="111" t="s">
        <v>44</v>
      </c>
      <c r="B165" s="18">
        <f>+'Vigilante Xerem 44h des'!$D$34</f>
        <v>0</v>
      </c>
      <c r="C165" s="52"/>
    </row>
    <row r="166" spans="1:3" x14ac:dyDescent="0.2">
      <c r="A166" s="104" t="s">
        <v>248</v>
      </c>
      <c r="B166" s="105">
        <f>SUM(B162:B165)</f>
        <v>0</v>
      </c>
      <c r="C166" s="52"/>
    </row>
    <row r="167" spans="1:3" x14ac:dyDescent="0.2">
      <c r="A167" s="25" t="s">
        <v>249</v>
      </c>
      <c r="B167" s="17">
        <v>0.4</v>
      </c>
      <c r="C167" s="52"/>
    </row>
    <row r="168" spans="1:3" x14ac:dyDescent="0.2">
      <c r="A168" s="25" t="s">
        <v>250</v>
      </c>
      <c r="B168" s="17">
        <f>+'Vigilante Xerem 44h des'!$C$46</f>
        <v>0.08</v>
      </c>
      <c r="C168" s="52"/>
    </row>
    <row r="169" spans="1:3" x14ac:dyDescent="0.2">
      <c r="A169" s="510" t="s">
        <v>252</v>
      </c>
      <c r="B169" s="510"/>
      <c r="C169" s="73">
        <f>ROUND(+B166*B167*B168*B161,2)</f>
        <v>0</v>
      </c>
    </row>
    <row r="170" spans="1:3" x14ac:dyDescent="0.2">
      <c r="A170" s="25" t="s">
        <v>253</v>
      </c>
      <c r="B170" s="17">
        <v>0.1</v>
      </c>
      <c r="C170" s="52"/>
    </row>
    <row r="171" spans="1:3" x14ac:dyDescent="0.2">
      <c r="A171" s="510" t="s">
        <v>254</v>
      </c>
      <c r="B171" s="510"/>
      <c r="C171" s="112">
        <f>ROUND(B170*B168*B166*B161,2)</f>
        <v>0</v>
      </c>
    </row>
    <row r="172" spans="1:3" x14ac:dyDescent="0.2">
      <c r="A172" s="504" t="s">
        <v>385</v>
      </c>
      <c r="B172" s="505"/>
      <c r="C172" s="71">
        <f>+C171+C169</f>
        <v>0</v>
      </c>
    </row>
    <row r="174" spans="1:3" x14ac:dyDescent="0.2">
      <c r="A174" s="507" t="s">
        <v>262</v>
      </c>
      <c r="B174" s="508"/>
      <c r="C174" s="509"/>
    </row>
    <row r="175" spans="1:3" x14ac:dyDescent="0.2">
      <c r="A175" s="511" t="s">
        <v>358</v>
      </c>
      <c r="B175" s="511"/>
      <c r="C175" s="511"/>
    </row>
    <row r="176" spans="1:3" x14ac:dyDescent="0.2">
      <c r="A176" s="511"/>
      <c r="B176" s="511"/>
      <c r="C176" s="511"/>
    </row>
    <row r="177" spans="1:3" x14ac:dyDescent="0.2">
      <c r="A177" s="511"/>
      <c r="B177" s="511"/>
      <c r="C177" s="511"/>
    </row>
    <row r="178" spans="1:3" x14ac:dyDescent="0.2">
      <c r="A178" s="511"/>
      <c r="B178" s="511"/>
      <c r="C178" s="511"/>
    </row>
    <row r="179" spans="1:3" x14ac:dyDescent="0.2">
      <c r="A179" s="119"/>
      <c r="B179" s="119"/>
      <c r="C179" s="119"/>
    </row>
    <row r="180" spans="1:3" x14ac:dyDescent="0.2">
      <c r="A180" s="512" t="s">
        <v>261</v>
      </c>
      <c r="B180" s="512"/>
      <c r="C180" s="512"/>
    </row>
    <row r="181" spans="1:3" x14ac:dyDescent="0.2">
      <c r="A181" s="6" t="s">
        <v>263</v>
      </c>
      <c r="B181" s="18">
        <f>+$B$7</f>
        <v>0</v>
      </c>
      <c r="C181" s="52"/>
    </row>
    <row r="182" spans="1:3" x14ac:dyDescent="0.2">
      <c r="A182" s="6" t="s">
        <v>206</v>
      </c>
      <c r="B182" s="6">
        <v>30</v>
      </c>
      <c r="C182" s="52"/>
    </row>
    <row r="183" spans="1:3" x14ac:dyDescent="0.2">
      <c r="A183" s="6" t="s">
        <v>264</v>
      </c>
      <c r="B183" s="6">
        <v>12</v>
      </c>
      <c r="C183" s="52"/>
    </row>
    <row r="184" spans="1:3" x14ac:dyDescent="0.2">
      <c r="A184" s="116" t="s">
        <v>265</v>
      </c>
      <c r="B184" s="116"/>
      <c r="C184" s="52"/>
    </row>
    <row r="185" spans="1:3" x14ac:dyDescent="0.2">
      <c r="A185" s="494" t="s">
        <v>266</v>
      </c>
      <c r="B185" s="494"/>
      <c r="C185" s="24">
        <f>+ROUND((B181/B182/B183)*B184,2)</f>
        <v>0</v>
      </c>
    </row>
    <row r="187" spans="1:3" x14ac:dyDescent="0.2">
      <c r="A187" s="512" t="s">
        <v>269</v>
      </c>
      <c r="B187" s="512"/>
      <c r="C187" s="512"/>
    </row>
    <row r="188" spans="1:3" x14ac:dyDescent="0.2">
      <c r="A188" s="6" t="s">
        <v>263</v>
      </c>
      <c r="B188" s="18">
        <f>+$B$7</f>
        <v>0</v>
      </c>
      <c r="C188" s="52"/>
    </row>
    <row r="189" spans="1:3" x14ac:dyDescent="0.2">
      <c r="A189" s="6" t="s">
        <v>206</v>
      </c>
      <c r="B189" s="6">
        <v>30</v>
      </c>
      <c r="C189" s="52"/>
    </row>
    <row r="190" spans="1:3" x14ac:dyDescent="0.2">
      <c r="A190" s="6" t="s">
        <v>264</v>
      </c>
      <c r="B190" s="6">
        <v>12</v>
      </c>
      <c r="C190" s="52"/>
    </row>
    <row r="191" spans="1:3" x14ac:dyDescent="0.2">
      <c r="A191" s="34" t="s">
        <v>267</v>
      </c>
      <c r="B191" s="6">
        <v>5</v>
      </c>
      <c r="C191" s="52"/>
    </row>
    <row r="192" spans="1:3" x14ac:dyDescent="0.2">
      <c r="A192" s="116" t="s">
        <v>268</v>
      </c>
      <c r="B192" s="114"/>
      <c r="C192" s="52"/>
    </row>
    <row r="193" spans="1:3" x14ac:dyDescent="0.2">
      <c r="A193" s="116" t="s">
        <v>270</v>
      </c>
      <c r="B193" s="114"/>
      <c r="C193" s="52"/>
    </row>
    <row r="194" spans="1:3" x14ac:dyDescent="0.2">
      <c r="A194" s="494" t="s">
        <v>271</v>
      </c>
      <c r="B194" s="494"/>
      <c r="C194" s="45">
        <f>ROUND(+B188/B189/B190*B191*B192*B193,2)</f>
        <v>0</v>
      </c>
    </row>
    <row r="196" spans="1:3" x14ac:dyDescent="0.2">
      <c r="A196" s="512" t="s">
        <v>272</v>
      </c>
      <c r="B196" s="512"/>
      <c r="C196" s="512"/>
    </row>
    <row r="197" spans="1:3" x14ac:dyDescent="0.2">
      <c r="A197" s="6" t="s">
        <v>263</v>
      </c>
      <c r="B197" s="18">
        <f>+$B$7</f>
        <v>0</v>
      </c>
      <c r="C197" s="52"/>
    </row>
    <row r="198" spans="1:3" x14ac:dyDescent="0.2">
      <c r="A198" s="6" t="s">
        <v>206</v>
      </c>
      <c r="B198" s="6">
        <v>30</v>
      </c>
      <c r="C198" s="52"/>
    </row>
    <row r="199" spans="1:3" x14ac:dyDescent="0.2">
      <c r="A199" s="6" t="s">
        <v>264</v>
      </c>
      <c r="B199" s="6">
        <v>12</v>
      </c>
      <c r="C199" s="52"/>
    </row>
    <row r="200" spans="1:3" x14ac:dyDescent="0.2">
      <c r="A200" s="34" t="s">
        <v>273</v>
      </c>
      <c r="B200" s="6">
        <v>15</v>
      </c>
      <c r="C200" s="52"/>
    </row>
    <row r="201" spans="1:3" x14ac:dyDescent="0.2">
      <c r="A201" s="116" t="s">
        <v>274</v>
      </c>
      <c r="B201" s="114"/>
      <c r="C201" s="52"/>
    </row>
    <row r="202" spans="1:3" x14ac:dyDescent="0.2">
      <c r="A202" s="494" t="s">
        <v>370</v>
      </c>
      <c r="B202" s="494"/>
      <c r="C202" s="45">
        <f>ROUND(+B197/B198/B199*B200*B201,2)</f>
        <v>0</v>
      </c>
    </row>
    <row r="204" spans="1:3" x14ac:dyDescent="0.2">
      <c r="A204" s="512" t="s">
        <v>275</v>
      </c>
      <c r="B204" s="512"/>
      <c r="C204" s="512"/>
    </row>
    <row r="205" spans="1:3" x14ac:dyDescent="0.2">
      <c r="A205" s="6" t="s">
        <v>263</v>
      </c>
      <c r="B205" s="18">
        <f>+$B$7</f>
        <v>0</v>
      </c>
      <c r="C205" s="52"/>
    </row>
    <row r="206" spans="1:3" x14ac:dyDescent="0.2">
      <c r="A206" s="6" t="s">
        <v>206</v>
      </c>
      <c r="B206" s="6">
        <v>30</v>
      </c>
      <c r="C206" s="52"/>
    </row>
    <row r="207" spans="1:3" x14ac:dyDescent="0.2">
      <c r="A207" s="6" t="s">
        <v>264</v>
      </c>
      <c r="B207" s="6">
        <v>12</v>
      </c>
      <c r="C207" s="52"/>
    </row>
    <row r="208" spans="1:3" x14ac:dyDescent="0.2">
      <c r="A208" s="34" t="s">
        <v>273</v>
      </c>
      <c r="B208" s="6">
        <v>5</v>
      </c>
      <c r="C208" s="52"/>
    </row>
    <row r="209" spans="1:3" x14ac:dyDescent="0.2">
      <c r="A209" s="116" t="s">
        <v>276</v>
      </c>
      <c r="B209" s="114"/>
      <c r="C209" s="52"/>
    </row>
    <row r="210" spans="1:3" x14ac:dyDescent="0.2">
      <c r="A210" s="494" t="s">
        <v>371</v>
      </c>
      <c r="B210" s="494"/>
      <c r="C210" s="45">
        <f>ROUND(+B205/B206/B207*B208*B209,2)</f>
        <v>0</v>
      </c>
    </row>
    <row r="212" spans="1:3" x14ac:dyDescent="0.2">
      <c r="A212" s="459" t="s">
        <v>108</v>
      </c>
      <c r="B212" s="459"/>
      <c r="C212" s="459"/>
    </row>
    <row r="213" spans="1:3" x14ac:dyDescent="0.2">
      <c r="A213" s="83" t="s">
        <v>23</v>
      </c>
      <c r="B213" s="87"/>
      <c r="C213" s="18">
        <f>+'Vigilante Xerem 44h des'!D25-'Vigilante Xerem 44h des'!D22</f>
        <v>0</v>
      </c>
    </row>
    <row r="214" spans="1:3" x14ac:dyDescent="0.2">
      <c r="A214" s="83" t="s">
        <v>68</v>
      </c>
      <c r="B214" s="87"/>
      <c r="C214" s="18">
        <f>+'Vigilante Xerem 44h des'!D70</f>
        <v>0</v>
      </c>
    </row>
    <row r="215" spans="1:3" x14ac:dyDescent="0.2">
      <c r="A215" s="83" t="s">
        <v>153</v>
      </c>
      <c r="B215" s="87"/>
      <c r="C215" s="18">
        <f>+'Vigilante Xerem 44h des'!D118</f>
        <v>0</v>
      </c>
    </row>
    <row r="216" spans="1:3" x14ac:dyDescent="0.2">
      <c r="A216" s="83" t="s">
        <v>86</v>
      </c>
      <c r="B216" s="87"/>
      <c r="C216" s="18">
        <f>+'Vigilante Xerem 44h des'!D109</f>
        <v>0</v>
      </c>
    </row>
    <row r="217" spans="1:3" x14ac:dyDescent="0.2">
      <c r="A217" s="83" t="s">
        <v>92</v>
      </c>
      <c r="B217" s="87"/>
      <c r="C217" s="18">
        <f>+'Vigilante Xerem 44h des'!D110</f>
        <v>0</v>
      </c>
    </row>
    <row r="218" spans="1:3" x14ac:dyDescent="0.2">
      <c r="A218" s="83" t="s">
        <v>70</v>
      </c>
      <c r="B218" s="87"/>
      <c r="C218" s="18">
        <f>+'Vigilante Xerem 44h des'!D81</f>
        <v>0</v>
      </c>
    </row>
    <row r="219" spans="1:3" x14ac:dyDescent="0.2">
      <c r="A219" s="83" t="s">
        <v>193</v>
      </c>
      <c r="B219" s="87"/>
      <c r="C219" s="18">
        <f>SUM(C213:C218)</f>
        <v>0</v>
      </c>
    </row>
    <row r="220" spans="1:3" x14ac:dyDescent="0.2">
      <c r="A220" s="83" t="s">
        <v>102</v>
      </c>
      <c r="B220" s="84">
        <v>220</v>
      </c>
      <c r="C220" s="85"/>
    </row>
    <row r="221" spans="1:3" x14ac:dyDescent="0.2">
      <c r="A221" s="83" t="s">
        <v>103</v>
      </c>
      <c r="B221" s="87"/>
      <c r="C221" s="18">
        <f>ROUND(C219/B220,2)</f>
        <v>0</v>
      </c>
    </row>
    <row r="222" spans="1:3" x14ac:dyDescent="0.2">
      <c r="A222" s="6" t="s">
        <v>104</v>
      </c>
      <c r="B222" s="51">
        <f>+B5</f>
        <v>21.741071428571431</v>
      </c>
      <c r="C222" s="58"/>
    </row>
    <row r="223" spans="1:3" x14ac:dyDescent="0.2">
      <c r="A223" s="504" t="s">
        <v>106</v>
      </c>
      <c r="B223" s="505"/>
      <c r="C223" s="71">
        <f>ROUND(+B222*C221,2)</f>
        <v>0</v>
      </c>
    </row>
    <row r="225" spans="1:3" x14ac:dyDescent="0.2">
      <c r="A225" s="512" t="s">
        <v>277</v>
      </c>
      <c r="B225" s="512"/>
      <c r="C225" s="512"/>
    </row>
    <row r="226" spans="1:3" x14ac:dyDescent="0.2">
      <c r="A226" s="513" t="s">
        <v>282</v>
      </c>
      <c r="B226" s="514"/>
      <c r="C226" s="515"/>
    </row>
    <row r="227" spans="1:3" x14ac:dyDescent="0.2">
      <c r="A227" s="6" t="s">
        <v>263</v>
      </c>
      <c r="B227" s="18">
        <f>+$B$7</f>
        <v>0</v>
      </c>
      <c r="C227" s="52"/>
    </row>
    <row r="228" spans="1:3" x14ac:dyDescent="0.2">
      <c r="A228" s="6" t="s">
        <v>281</v>
      </c>
      <c r="B228" s="18">
        <f>+B227*(1/3)</f>
        <v>0</v>
      </c>
      <c r="C228" s="52"/>
    </row>
    <row r="229" spans="1:3" x14ac:dyDescent="0.2">
      <c r="A229" s="104" t="s">
        <v>248</v>
      </c>
      <c r="B229" s="105">
        <f>SUM(B227:B228)</f>
        <v>0</v>
      </c>
      <c r="C229" s="52"/>
    </row>
    <row r="230" spans="1:3" x14ac:dyDescent="0.2">
      <c r="A230" s="6" t="s">
        <v>278</v>
      </c>
      <c r="B230" s="6">
        <v>4</v>
      </c>
      <c r="C230" s="52"/>
    </row>
    <row r="231" spans="1:3" x14ac:dyDescent="0.2">
      <c r="A231" s="6" t="s">
        <v>264</v>
      </c>
      <c r="B231" s="6">
        <v>12</v>
      </c>
      <c r="C231" s="52"/>
    </row>
    <row r="232" spans="1:3" x14ac:dyDescent="0.2">
      <c r="A232" s="116" t="s">
        <v>279</v>
      </c>
      <c r="B232" s="114"/>
      <c r="C232" s="52"/>
    </row>
    <row r="233" spans="1:3" x14ac:dyDescent="0.2">
      <c r="A233" s="116" t="s">
        <v>280</v>
      </c>
      <c r="B233" s="114"/>
      <c r="C233" s="52"/>
    </row>
    <row r="234" spans="1:3" x14ac:dyDescent="0.2">
      <c r="A234" s="494" t="s">
        <v>283</v>
      </c>
      <c r="B234" s="494"/>
      <c r="C234" s="45">
        <f>ROUND((((+B229*(B230/B231)/B231)*B232)*B233),2)</f>
        <v>0</v>
      </c>
    </row>
    <row r="235" spans="1:3" x14ac:dyDescent="0.2">
      <c r="A235" s="494" t="s">
        <v>284</v>
      </c>
      <c r="B235" s="494"/>
      <c r="C235" s="494"/>
    </row>
    <row r="236" spans="1:3" x14ac:dyDescent="0.2">
      <c r="A236" s="6" t="s">
        <v>263</v>
      </c>
      <c r="B236" s="18">
        <f>+'Vigilante Xerem 44h des'!D25</f>
        <v>0</v>
      </c>
      <c r="C236" s="52"/>
    </row>
    <row r="237" spans="1:3" x14ac:dyDescent="0.2">
      <c r="A237" s="6" t="s">
        <v>46</v>
      </c>
      <c r="B237" s="18">
        <f>+'Vigilante Xerem 44h des'!D31</f>
        <v>0</v>
      </c>
      <c r="C237" s="52"/>
    </row>
    <row r="238" spans="1:3" x14ac:dyDescent="0.2">
      <c r="A238" s="104" t="s">
        <v>248</v>
      </c>
      <c r="B238" s="105">
        <f>SUM(B236:B237)</f>
        <v>0</v>
      </c>
      <c r="C238" s="52"/>
    </row>
    <row r="239" spans="1:3" x14ac:dyDescent="0.2">
      <c r="A239" s="6" t="s">
        <v>278</v>
      </c>
      <c r="B239" s="6">
        <v>4</v>
      </c>
      <c r="C239" s="52"/>
    </row>
    <row r="240" spans="1:3" x14ac:dyDescent="0.2">
      <c r="A240" s="6" t="s">
        <v>264</v>
      </c>
      <c r="B240" s="6">
        <v>12</v>
      </c>
      <c r="C240" s="52"/>
    </row>
    <row r="241" spans="1:3" x14ac:dyDescent="0.2">
      <c r="A241" s="116" t="s">
        <v>279</v>
      </c>
      <c r="B241" s="114"/>
      <c r="C241" s="52"/>
    </row>
    <row r="242" spans="1:3" x14ac:dyDescent="0.2">
      <c r="A242" s="116" t="s">
        <v>280</v>
      </c>
      <c r="B242" s="114"/>
      <c r="C242" s="52"/>
    </row>
    <row r="243" spans="1:3" x14ac:dyDescent="0.2">
      <c r="A243" s="34" t="s">
        <v>285</v>
      </c>
      <c r="B243" s="17">
        <f>+'Vigilante Xerem 44h des'!C47</f>
        <v>0.36800000000000005</v>
      </c>
      <c r="C243" s="52"/>
    </row>
    <row r="244" spans="1:3" x14ac:dyDescent="0.2">
      <c r="A244" s="494" t="s">
        <v>286</v>
      </c>
      <c r="B244" s="494"/>
      <c r="C244" s="71">
        <f>ROUND((((B238*(B239/B240)*B241)*B242)*B243),2)</f>
        <v>0</v>
      </c>
    </row>
  </sheetData>
  <mergeCells count="45">
    <mergeCell ref="A112:B112"/>
    <mergeCell ref="A1:C1"/>
    <mergeCell ref="A9:C9"/>
    <mergeCell ref="A26:B26"/>
    <mergeCell ref="A28:C28"/>
    <mergeCell ref="A39:C39"/>
    <mergeCell ref="A52:C52"/>
    <mergeCell ref="A65:B65"/>
    <mergeCell ref="A67:C67"/>
    <mergeCell ref="A80:B80"/>
    <mergeCell ref="A82:C82"/>
    <mergeCell ref="A93:C93"/>
    <mergeCell ref="A158:B158"/>
    <mergeCell ref="A114:C114"/>
    <mergeCell ref="A121:B121"/>
    <mergeCell ref="A123:C123"/>
    <mergeCell ref="A130:B130"/>
    <mergeCell ref="A132:C132"/>
    <mergeCell ref="A136:B136"/>
    <mergeCell ref="A138:C138"/>
    <mergeCell ref="A147:B147"/>
    <mergeCell ref="A149:B149"/>
    <mergeCell ref="A150:B150"/>
    <mergeCell ref="A152:C152"/>
    <mergeCell ref="A202:B202"/>
    <mergeCell ref="A160:C160"/>
    <mergeCell ref="A169:B169"/>
    <mergeCell ref="A171:B171"/>
    <mergeCell ref="A172:B172"/>
    <mergeCell ref="A174:C174"/>
    <mergeCell ref="A175:C178"/>
    <mergeCell ref="A180:C180"/>
    <mergeCell ref="A185:B185"/>
    <mergeCell ref="A187:C187"/>
    <mergeCell ref="A194:B194"/>
    <mergeCell ref="A196:C196"/>
    <mergeCell ref="A234:B234"/>
    <mergeCell ref="A235:C235"/>
    <mergeCell ref="A244:B244"/>
    <mergeCell ref="A204:C204"/>
    <mergeCell ref="A210:B210"/>
    <mergeCell ref="A212:C212"/>
    <mergeCell ref="A223:B223"/>
    <mergeCell ref="A225:C225"/>
    <mergeCell ref="A226:C226"/>
  </mergeCells>
  <pageMargins left="0.86614173228346458" right="7.874015748031496E-2" top="0.35433070866141736" bottom="0.47244094488188981" header="0.31496062992125984" footer="0.31496062992125984"/>
  <pageSetup paperSize="9" scale="85" orientation="portrait" r:id="rId1"/>
  <headerFooter>
    <oddFooter>&amp;A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sheetPr>
    <tabColor theme="1" tint="0.14999847407452621"/>
  </sheetPr>
  <dimension ref="A1:H174"/>
  <sheetViews>
    <sheetView workbookViewId="0">
      <selection activeCell="A3" sqref="A3"/>
    </sheetView>
  </sheetViews>
  <sheetFormatPr defaultRowHeight="12.75" x14ac:dyDescent="0.2"/>
  <cols>
    <col min="1" max="1" width="31" style="141" customWidth="1"/>
    <col min="2" max="2" width="11.375" style="141" customWidth="1"/>
    <col min="3" max="3" width="11.75" style="141" customWidth="1"/>
    <col min="4" max="4" width="13.875" style="141" customWidth="1"/>
    <col min="5" max="5" width="13.125" style="141" customWidth="1"/>
    <col min="6" max="6" width="13.25" style="141" customWidth="1"/>
    <col min="7" max="7" width="15.125" style="141" customWidth="1"/>
    <col min="8" max="8" width="10.125" style="141" bestFit="1" customWidth="1"/>
    <col min="9" max="16384" width="9" style="141"/>
  </cols>
  <sheetData>
    <row r="1" spans="1:8" x14ac:dyDescent="0.2">
      <c r="A1" s="600" t="s">
        <v>111</v>
      </c>
      <c r="B1" s="601"/>
      <c r="C1" s="601"/>
      <c r="D1" s="601"/>
      <c r="E1" s="601"/>
      <c r="F1" s="601"/>
      <c r="G1" s="602"/>
      <c r="H1" s="133"/>
    </row>
    <row r="2" spans="1:8" s="137" customFormat="1" ht="48" x14ac:dyDescent="0.2">
      <c r="A2" s="135" t="s">
        <v>112</v>
      </c>
      <c r="B2" s="135" t="s">
        <v>113</v>
      </c>
      <c r="C2" s="135" t="s">
        <v>114</v>
      </c>
      <c r="D2" s="135" t="s">
        <v>115</v>
      </c>
      <c r="E2" s="63" t="s">
        <v>435</v>
      </c>
      <c r="F2" s="136" t="s">
        <v>150</v>
      </c>
      <c r="G2" s="138"/>
    </row>
    <row r="3" spans="1:8" x14ac:dyDescent="0.2">
      <c r="A3" s="65" t="s">
        <v>118</v>
      </c>
      <c r="B3" s="139">
        <v>6</v>
      </c>
      <c r="C3" s="139">
        <v>2</v>
      </c>
      <c r="D3" s="139">
        <f>+C3*2</f>
        <v>4</v>
      </c>
      <c r="E3" s="179"/>
      <c r="F3" s="140">
        <f>+(E3*D3)/12</f>
        <v>0</v>
      </c>
      <c r="G3" s="142"/>
    </row>
    <row r="4" spans="1:8" x14ac:dyDescent="0.2">
      <c r="A4" s="65" t="s">
        <v>119</v>
      </c>
      <c r="B4" s="139">
        <v>6</v>
      </c>
      <c r="C4" s="139">
        <v>2</v>
      </c>
      <c r="D4" s="139">
        <f>+C4*2</f>
        <v>4</v>
      </c>
      <c r="E4" s="179"/>
      <c r="F4" s="140">
        <f t="shared" ref="F4:F10" si="0">+(E4*D4)/12</f>
        <v>0</v>
      </c>
      <c r="G4" s="142"/>
    </row>
    <row r="5" spans="1:8" x14ac:dyDescent="0.2">
      <c r="A5" s="65" t="s">
        <v>120</v>
      </c>
      <c r="B5" s="139">
        <v>6</v>
      </c>
      <c r="C5" s="139">
        <v>2</v>
      </c>
      <c r="D5" s="139">
        <f>+C5*2</f>
        <v>4</v>
      </c>
      <c r="E5" s="179"/>
      <c r="F5" s="140">
        <f t="shared" si="0"/>
        <v>0</v>
      </c>
      <c r="G5" s="142"/>
    </row>
    <row r="6" spans="1:8" x14ac:dyDescent="0.2">
      <c r="A6" s="65" t="s">
        <v>336</v>
      </c>
      <c r="B6" s="139">
        <v>12</v>
      </c>
      <c r="C6" s="139">
        <v>1</v>
      </c>
      <c r="D6" s="139">
        <v>2</v>
      </c>
      <c r="E6" s="179"/>
      <c r="F6" s="140">
        <f t="shared" si="0"/>
        <v>0</v>
      </c>
      <c r="G6" s="142"/>
    </row>
    <row r="7" spans="1:8" x14ac:dyDescent="0.2">
      <c r="A7" s="65" t="s">
        <v>121</v>
      </c>
      <c r="B7" s="139">
        <v>12</v>
      </c>
      <c r="C7" s="139"/>
      <c r="D7" s="139">
        <v>1</v>
      </c>
      <c r="E7" s="179"/>
      <c r="F7" s="140">
        <f t="shared" si="0"/>
        <v>0</v>
      </c>
      <c r="G7" s="142"/>
    </row>
    <row r="8" spans="1:8" x14ac:dyDescent="0.2">
      <c r="A8" s="65" t="s">
        <v>122</v>
      </c>
      <c r="B8" s="139">
        <v>12</v>
      </c>
      <c r="C8" s="139"/>
      <c r="D8" s="139">
        <v>1</v>
      </c>
      <c r="E8" s="179"/>
      <c r="F8" s="140">
        <f t="shared" si="0"/>
        <v>0</v>
      </c>
      <c r="G8" s="142"/>
    </row>
    <row r="9" spans="1:8" x14ac:dyDescent="0.2">
      <c r="A9" s="65" t="s">
        <v>123</v>
      </c>
      <c r="B9" s="139">
        <v>12</v>
      </c>
      <c r="C9" s="139"/>
      <c r="D9" s="139">
        <v>1</v>
      </c>
      <c r="E9" s="179"/>
      <c r="F9" s="140">
        <f t="shared" si="0"/>
        <v>0</v>
      </c>
      <c r="G9" s="142"/>
    </row>
    <row r="10" spans="1:8" x14ac:dyDescent="0.2">
      <c r="A10" s="65" t="s">
        <v>124</v>
      </c>
      <c r="B10" s="139">
        <v>12</v>
      </c>
      <c r="C10" s="139"/>
      <c r="D10" s="139">
        <v>1</v>
      </c>
      <c r="E10" s="179"/>
      <c r="F10" s="140">
        <f t="shared" si="0"/>
        <v>0</v>
      </c>
      <c r="G10" s="142"/>
    </row>
    <row r="11" spans="1:8" x14ac:dyDescent="0.2">
      <c r="A11" s="65" t="s">
        <v>125</v>
      </c>
      <c r="B11" s="139">
        <v>6</v>
      </c>
      <c r="C11" s="139">
        <v>1</v>
      </c>
      <c r="D11" s="139"/>
      <c r="E11" s="179"/>
      <c r="F11" s="140">
        <f>+(E11)/12</f>
        <v>0</v>
      </c>
      <c r="G11" s="142"/>
    </row>
    <row r="12" spans="1:8" x14ac:dyDescent="0.2">
      <c r="A12" s="65"/>
      <c r="B12" s="139"/>
      <c r="C12" s="139"/>
      <c r="D12" s="139"/>
      <c r="E12" s="140"/>
      <c r="F12" s="140">
        <v>0</v>
      </c>
      <c r="G12" s="143">
        <f>ROUND(SUM(F3:F11),2)</f>
        <v>0</v>
      </c>
    </row>
    <row r="13" spans="1:8" x14ac:dyDescent="0.2">
      <c r="A13" s="144"/>
      <c r="B13" s="145"/>
      <c r="C13" s="145"/>
      <c r="D13" s="145"/>
      <c r="E13" s="145"/>
      <c r="F13" s="134"/>
      <c r="G13" s="134"/>
      <c r="H13" s="146"/>
    </row>
    <row r="14" spans="1:8" x14ac:dyDescent="0.2">
      <c r="A14" s="603" t="s">
        <v>126</v>
      </c>
      <c r="B14" s="603"/>
      <c r="C14" s="603"/>
      <c r="D14" s="603"/>
      <c r="E14" s="603"/>
      <c r="F14" s="147"/>
      <c r="G14" s="147"/>
      <c r="H14" s="133"/>
    </row>
    <row r="15" spans="1:8" s="137" customFormat="1" ht="36" x14ac:dyDescent="0.2">
      <c r="A15" s="148" t="s">
        <v>112</v>
      </c>
      <c r="B15" s="148" t="s">
        <v>113</v>
      </c>
      <c r="C15" s="148" t="s">
        <v>142</v>
      </c>
      <c r="D15" s="64" t="s">
        <v>435</v>
      </c>
      <c r="E15" s="136" t="s">
        <v>150</v>
      </c>
      <c r="F15" s="138"/>
      <c r="G15" s="138"/>
      <c r="H15" s="138"/>
    </row>
    <row r="16" spans="1:8" x14ac:dyDescent="0.2">
      <c r="A16" s="65" t="s">
        <v>143</v>
      </c>
      <c r="B16" s="139">
        <v>30</v>
      </c>
      <c r="C16" s="139">
        <v>0.25</v>
      </c>
      <c r="D16" s="179"/>
      <c r="E16" s="140">
        <f>+(D16/B16)*C16</f>
        <v>0</v>
      </c>
      <c r="F16" s="133"/>
      <c r="G16" s="133"/>
      <c r="H16" s="133"/>
    </row>
    <row r="17" spans="1:8" x14ac:dyDescent="0.2">
      <c r="A17" s="65" t="s">
        <v>144</v>
      </c>
      <c r="B17" s="139">
        <v>30</v>
      </c>
      <c r="C17" s="139">
        <v>0.25</v>
      </c>
      <c r="D17" s="179"/>
      <c r="E17" s="140">
        <f t="shared" ref="E17:E25" si="1">+(D17/B17)*C17</f>
        <v>0</v>
      </c>
      <c r="F17" s="133"/>
      <c r="G17" s="133"/>
      <c r="H17" s="133"/>
    </row>
    <row r="18" spans="1:8" x14ac:dyDescent="0.2">
      <c r="A18" s="65" t="s">
        <v>129</v>
      </c>
      <c r="B18" s="139">
        <v>30</v>
      </c>
      <c r="C18" s="139">
        <v>1</v>
      </c>
      <c r="D18" s="179"/>
      <c r="E18" s="140">
        <f t="shared" si="1"/>
        <v>0</v>
      </c>
      <c r="F18" s="133"/>
      <c r="G18" s="133"/>
      <c r="H18" s="133"/>
    </row>
    <row r="19" spans="1:8" x14ac:dyDescent="0.2">
      <c r="A19" s="65" t="s">
        <v>130</v>
      </c>
      <c r="B19" s="139">
        <v>30</v>
      </c>
      <c r="C19" s="139">
        <v>1</v>
      </c>
      <c r="D19" s="179"/>
      <c r="E19" s="140">
        <f t="shared" si="1"/>
        <v>0</v>
      </c>
      <c r="F19" s="133"/>
      <c r="G19" s="133"/>
      <c r="H19" s="133"/>
    </row>
    <row r="20" spans="1:8" x14ac:dyDescent="0.2">
      <c r="A20" s="65" t="s">
        <v>145</v>
      </c>
      <c r="B20" s="139">
        <v>60</v>
      </c>
      <c r="C20" s="139">
        <v>0.25</v>
      </c>
      <c r="D20" s="179"/>
      <c r="E20" s="140">
        <f t="shared" si="1"/>
        <v>0</v>
      </c>
      <c r="F20" s="133"/>
      <c r="G20" s="133"/>
      <c r="H20" s="133"/>
    </row>
    <row r="21" spans="1:8" x14ac:dyDescent="0.2">
      <c r="A21" s="65" t="s">
        <v>146</v>
      </c>
      <c r="B21" s="139">
        <v>120</v>
      </c>
      <c r="C21" s="139">
        <v>0.3</v>
      </c>
      <c r="D21" s="179"/>
      <c r="E21" s="140">
        <f t="shared" si="1"/>
        <v>0</v>
      </c>
      <c r="F21" s="133"/>
      <c r="G21" s="133"/>
      <c r="H21" s="133"/>
    </row>
    <row r="22" spans="1:8" x14ac:dyDescent="0.2">
      <c r="A22" s="65" t="s">
        <v>147</v>
      </c>
      <c r="B22" s="139">
        <v>30</v>
      </c>
      <c r="C22" s="139">
        <v>0.3</v>
      </c>
      <c r="D22" s="179"/>
      <c r="E22" s="140">
        <f t="shared" si="1"/>
        <v>0</v>
      </c>
      <c r="F22" s="133"/>
      <c r="G22" s="133"/>
      <c r="H22" s="133"/>
    </row>
    <row r="23" spans="1:8" x14ac:dyDescent="0.2">
      <c r="A23" s="65" t="s">
        <v>148</v>
      </c>
      <c r="B23" s="139">
        <v>30</v>
      </c>
      <c r="C23" s="139">
        <v>0.3</v>
      </c>
      <c r="D23" s="179"/>
      <c r="E23" s="140">
        <f t="shared" si="1"/>
        <v>0</v>
      </c>
      <c r="F23" s="133"/>
      <c r="G23" s="133"/>
      <c r="H23" s="133"/>
    </row>
    <row r="24" spans="1:8" x14ac:dyDescent="0.2">
      <c r="A24" s="65" t="s">
        <v>149</v>
      </c>
      <c r="B24" s="139">
        <v>24</v>
      </c>
      <c r="C24" s="139">
        <v>0.3</v>
      </c>
      <c r="D24" s="179"/>
      <c r="E24" s="140">
        <f t="shared" si="1"/>
        <v>0</v>
      </c>
      <c r="F24" s="133"/>
      <c r="G24" s="133"/>
      <c r="H24" s="133"/>
    </row>
    <row r="25" spans="1:8" x14ac:dyDescent="0.2">
      <c r="A25" s="65" t="s">
        <v>141</v>
      </c>
      <c r="B25" s="139">
        <v>60</v>
      </c>
      <c r="C25" s="139">
        <v>0.5</v>
      </c>
      <c r="D25" s="179"/>
      <c r="E25" s="140">
        <f t="shared" si="1"/>
        <v>0</v>
      </c>
      <c r="F25" s="133"/>
      <c r="G25" s="133"/>
      <c r="H25" s="133"/>
    </row>
    <row r="26" spans="1:8" x14ac:dyDescent="0.2">
      <c r="A26" s="65" t="s">
        <v>136</v>
      </c>
      <c r="B26" s="139">
        <v>60</v>
      </c>
      <c r="C26" s="139">
        <v>1</v>
      </c>
      <c r="D26" s="179"/>
      <c r="E26" s="140">
        <f>+(D26/B26)*C26</f>
        <v>0</v>
      </c>
      <c r="F26" s="133"/>
      <c r="G26" s="133"/>
      <c r="H26" s="133"/>
    </row>
    <row r="27" spans="1:8" x14ac:dyDescent="0.2">
      <c r="A27" s="65"/>
      <c r="B27" s="139"/>
      <c r="C27" s="139"/>
      <c r="D27" s="140"/>
      <c r="E27" s="140"/>
      <c r="F27" s="143">
        <f>ROUND(SUM(E16:E26),2)</f>
        <v>0</v>
      </c>
      <c r="G27" s="133"/>
      <c r="H27" s="133"/>
    </row>
    <row r="28" spans="1:8" x14ac:dyDescent="0.2">
      <c r="A28" s="133"/>
      <c r="B28" s="133"/>
      <c r="C28" s="133"/>
      <c r="D28" s="133"/>
      <c r="E28" s="133"/>
      <c r="F28" s="134"/>
      <c r="G28" s="134"/>
      <c r="H28" s="133"/>
    </row>
    <row r="29" spans="1:8" x14ac:dyDescent="0.2">
      <c r="A29" s="65" t="s">
        <v>29</v>
      </c>
      <c r="B29" s="143">
        <f>+G12+F27</f>
        <v>0</v>
      </c>
      <c r="C29" s="150"/>
      <c r="D29" s="150"/>
      <c r="E29" s="133"/>
      <c r="F29" s="134"/>
      <c r="G29" s="134"/>
      <c r="H29" s="133"/>
    </row>
    <row r="30" spans="1:8" x14ac:dyDescent="0.2">
      <c r="A30" s="133"/>
      <c r="B30" s="133"/>
      <c r="C30" s="133"/>
      <c r="D30" s="133"/>
      <c r="E30" s="381"/>
      <c r="F30" s="134"/>
      <c r="G30" s="134"/>
      <c r="H30" s="133"/>
    </row>
    <row r="31" spans="1:8" ht="28.5" customHeight="1" x14ac:dyDescent="0.2">
      <c r="A31" s="599" t="s">
        <v>292</v>
      </c>
      <c r="B31" s="599"/>
      <c r="C31" s="599"/>
      <c r="D31" s="599"/>
      <c r="E31" s="599"/>
      <c r="F31" s="599"/>
      <c r="G31" s="599"/>
      <c r="H31" s="66"/>
    </row>
    <row r="32" spans="1:8" x14ac:dyDescent="0.2">
      <c r="A32" s="382"/>
      <c r="B32" s="382"/>
      <c r="C32" s="382"/>
      <c r="D32" s="382"/>
      <c r="E32" s="382"/>
      <c r="F32" s="383"/>
      <c r="G32" s="383"/>
      <c r="H32" s="133"/>
    </row>
    <row r="33" spans="1:8" ht="46.5" customHeight="1" x14ac:dyDescent="0.2">
      <c r="A33" s="599" t="s">
        <v>291</v>
      </c>
      <c r="B33" s="599"/>
      <c r="C33" s="599"/>
      <c r="D33" s="599"/>
      <c r="E33" s="599"/>
      <c r="F33" s="599"/>
      <c r="G33" s="599"/>
      <c r="H33" s="133"/>
    </row>
    <row r="34" spans="1:8" x14ac:dyDescent="0.2">
      <c r="A34" s="133"/>
      <c r="B34" s="133"/>
      <c r="C34" s="133"/>
      <c r="D34" s="133"/>
      <c r="E34" s="133"/>
      <c r="F34" s="134"/>
      <c r="G34" s="134"/>
      <c r="H34" s="133"/>
    </row>
    <row r="35" spans="1:8" x14ac:dyDescent="0.2">
      <c r="A35" s="133"/>
      <c r="B35" s="133"/>
      <c r="C35" s="133"/>
      <c r="D35" s="133"/>
      <c r="E35" s="133"/>
      <c r="F35" s="134"/>
      <c r="G35" s="134"/>
      <c r="H35" s="133"/>
    </row>
    <row r="36" spans="1:8" x14ac:dyDescent="0.2">
      <c r="A36" s="600" t="s">
        <v>137</v>
      </c>
      <c r="B36" s="601"/>
      <c r="C36" s="601"/>
      <c r="D36" s="601"/>
      <c r="E36" s="601"/>
      <c r="F36" s="601"/>
      <c r="G36" s="602"/>
      <c r="H36" s="133"/>
    </row>
    <row r="37" spans="1:8" s="137" customFormat="1" ht="48" x14ac:dyDescent="0.2">
      <c r="A37" s="135" t="s">
        <v>112</v>
      </c>
      <c r="B37" s="135" t="s">
        <v>113</v>
      </c>
      <c r="C37" s="135" t="s">
        <v>114</v>
      </c>
      <c r="D37" s="135" t="s">
        <v>115</v>
      </c>
      <c r="E37" s="63" t="s">
        <v>138</v>
      </c>
      <c r="F37" s="136" t="s">
        <v>117</v>
      </c>
      <c r="H37" s="138"/>
    </row>
    <row r="38" spans="1:8" x14ac:dyDescent="0.2">
      <c r="A38" s="65" t="s">
        <v>118</v>
      </c>
      <c r="B38" s="139">
        <v>6</v>
      </c>
      <c r="C38" s="139">
        <f>+D38/2</f>
        <v>2</v>
      </c>
      <c r="D38" s="139">
        <v>4</v>
      </c>
      <c r="E38" s="179"/>
      <c r="F38" s="140">
        <f t="shared" ref="F38:F45" si="2">+(E38*D38)/12</f>
        <v>0</v>
      </c>
      <c r="H38" s="142"/>
    </row>
    <row r="39" spans="1:8" x14ac:dyDescent="0.2">
      <c r="A39" s="65" t="s">
        <v>119</v>
      </c>
      <c r="B39" s="139">
        <v>6</v>
      </c>
      <c r="C39" s="139">
        <f>+D39/2</f>
        <v>2</v>
      </c>
      <c r="D39" s="139">
        <v>4</v>
      </c>
      <c r="E39" s="179"/>
      <c r="F39" s="140">
        <f t="shared" si="2"/>
        <v>0</v>
      </c>
      <c r="H39" s="142"/>
    </row>
    <row r="40" spans="1:8" x14ac:dyDescent="0.2">
      <c r="A40" s="65" t="s">
        <v>120</v>
      </c>
      <c r="B40" s="139">
        <v>6</v>
      </c>
      <c r="C40" s="139">
        <f>+D40/2</f>
        <v>2</v>
      </c>
      <c r="D40" s="139">
        <v>4</v>
      </c>
      <c r="E40" s="179"/>
      <c r="F40" s="140">
        <f t="shared" si="2"/>
        <v>0</v>
      </c>
      <c r="H40" s="142"/>
    </row>
    <row r="41" spans="1:8" x14ac:dyDescent="0.2">
      <c r="A41" s="65" t="s">
        <v>336</v>
      </c>
      <c r="B41" s="139">
        <v>12</v>
      </c>
      <c r="C41" s="139">
        <v>1</v>
      </c>
      <c r="D41" s="139">
        <v>2</v>
      </c>
      <c r="E41" s="179"/>
      <c r="F41" s="140">
        <f t="shared" si="2"/>
        <v>0</v>
      </c>
      <c r="H41" s="142"/>
    </row>
    <row r="42" spans="1:8" x14ac:dyDescent="0.2">
      <c r="A42" s="65" t="s">
        <v>121</v>
      </c>
      <c r="B42" s="139">
        <v>12</v>
      </c>
      <c r="C42" s="139"/>
      <c r="D42" s="139">
        <v>1</v>
      </c>
      <c r="E42" s="179"/>
      <c r="F42" s="140">
        <f t="shared" si="2"/>
        <v>0</v>
      </c>
      <c r="H42" s="142"/>
    </row>
    <row r="43" spans="1:8" x14ac:dyDescent="0.2">
      <c r="A43" s="65" t="s">
        <v>122</v>
      </c>
      <c r="B43" s="139">
        <v>12</v>
      </c>
      <c r="C43" s="139"/>
      <c r="D43" s="139">
        <v>1</v>
      </c>
      <c r="E43" s="179"/>
      <c r="F43" s="140">
        <f t="shared" si="2"/>
        <v>0</v>
      </c>
      <c r="H43" s="142"/>
    </row>
    <row r="44" spans="1:8" x14ac:dyDescent="0.2">
      <c r="A44" s="65" t="s">
        <v>123</v>
      </c>
      <c r="B44" s="139">
        <v>12</v>
      </c>
      <c r="C44" s="139"/>
      <c r="D44" s="139">
        <v>1</v>
      </c>
      <c r="E44" s="179"/>
      <c r="F44" s="140">
        <f t="shared" si="2"/>
        <v>0</v>
      </c>
      <c r="H44" s="142"/>
    </row>
    <row r="45" spans="1:8" x14ac:dyDescent="0.2">
      <c r="A45" s="65" t="s">
        <v>124</v>
      </c>
      <c r="B45" s="139">
        <v>12</v>
      </c>
      <c r="C45" s="139"/>
      <c r="D45" s="139">
        <v>1</v>
      </c>
      <c r="E45" s="179"/>
      <c r="F45" s="140">
        <f t="shared" si="2"/>
        <v>0</v>
      </c>
      <c r="H45" s="142"/>
    </row>
    <row r="46" spans="1:8" x14ac:dyDescent="0.2">
      <c r="A46" s="65" t="s">
        <v>125</v>
      </c>
      <c r="B46" s="139">
        <v>6</v>
      </c>
      <c r="C46" s="139">
        <v>1</v>
      </c>
      <c r="D46" s="139"/>
      <c r="E46" s="179"/>
      <c r="F46" s="140">
        <f>+E46/12</f>
        <v>0</v>
      </c>
      <c r="H46" s="142"/>
    </row>
    <row r="47" spans="1:8" x14ac:dyDescent="0.2">
      <c r="A47" s="65"/>
      <c r="B47" s="139"/>
      <c r="C47" s="139"/>
      <c r="D47" s="139"/>
      <c r="E47" s="140"/>
      <c r="F47" s="140"/>
      <c r="G47" s="143">
        <f>SUM(F38:F47)</f>
        <v>0</v>
      </c>
    </row>
    <row r="48" spans="1:8" x14ac:dyDescent="0.2">
      <c r="A48" s="144"/>
      <c r="B48" s="145"/>
      <c r="C48" s="145"/>
      <c r="D48" s="145"/>
      <c r="E48" s="145"/>
      <c r="F48" s="134"/>
      <c r="G48" s="134"/>
      <c r="H48" s="146"/>
    </row>
    <row r="49" spans="1:8" x14ac:dyDescent="0.2">
      <c r="A49" s="604" t="s">
        <v>139</v>
      </c>
      <c r="B49" s="605"/>
      <c r="C49" s="605"/>
      <c r="D49" s="605"/>
      <c r="E49" s="606"/>
      <c r="F49" s="147"/>
      <c r="G49" s="147"/>
      <c r="H49" s="133"/>
    </row>
    <row r="50" spans="1:8" s="137" customFormat="1" ht="24" x14ac:dyDescent="0.2">
      <c r="A50" s="148" t="s">
        <v>112</v>
      </c>
      <c r="B50" s="148" t="s">
        <v>113</v>
      </c>
      <c r="C50" s="148" t="s">
        <v>341</v>
      </c>
      <c r="D50" s="149" t="s">
        <v>138</v>
      </c>
      <c r="E50" s="149" t="s">
        <v>117</v>
      </c>
      <c r="F50" s="138"/>
      <c r="G50" s="138"/>
      <c r="H50" s="138"/>
    </row>
    <row r="51" spans="1:8" x14ac:dyDescent="0.2">
      <c r="A51" s="65" t="s">
        <v>127</v>
      </c>
      <c r="B51" s="139">
        <v>30</v>
      </c>
      <c r="C51" s="139">
        <v>0.25</v>
      </c>
      <c r="D51" s="179"/>
      <c r="E51" s="140">
        <f t="shared" ref="E51:E62" si="3">+(D51/B51)*C51</f>
        <v>0</v>
      </c>
      <c r="F51" s="133"/>
      <c r="G51" s="133"/>
      <c r="H51" s="133"/>
    </row>
    <row r="52" spans="1:8" x14ac:dyDescent="0.2">
      <c r="A52" s="65" t="s">
        <v>128</v>
      </c>
      <c r="B52" s="139">
        <v>30</v>
      </c>
      <c r="C52" s="139">
        <v>0.25</v>
      </c>
      <c r="D52" s="179"/>
      <c r="E52" s="140">
        <f t="shared" si="3"/>
        <v>0</v>
      </c>
      <c r="F52" s="133"/>
      <c r="G52" s="133"/>
      <c r="H52" s="133"/>
    </row>
    <row r="53" spans="1:8" x14ac:dyDescent="0.2">
      <c r="A53" s="65" t="s">
        <v>129</v>
      </c>
      <c r="B53" s="139">
        <v>30</v>
      </c>
      <c r="C53" s="139">
        <v>1</v>
      </c>
      <c r="D53" s="179"/>
      <c r="E53" s="140">
        <f t="shared" si="3"/>
        <v>0</v>
      </c>
      <c r="F53" s="133"/>
      <c r="G53" s="133"/>
      <c r="H53" s="133"/>
    </row>
    <row r="54" spans="1:8" x14ac:dyDescent="0.2">
      <c r="A54" s="65" t="s">
        <v>130</v>
      </c>
      <c r="B54" s="139">
        <v>30</v>
      </c>
      <c r="C54" s="139">
        <v>1</v>
      </c>
      <c r="D54" s="179"/>
      <c r="E54" s="140">
        <f t="shared" si="3"/>
        <v>0</v>
      </c>
      <c r="F54" s="133"/>
      <c r="G54" s="133"/>
      <c r="H54" s="133"/>
    </row>
    <row r="55" spans="1:8" x14ac:dyDescent="0.2">
      <c r="A55" s="65" t="s">
        <v>131</v>
      </c>
      <c r="B55" s="139">
        <v>60</v>
      </c>
      <c r="C55" s="139">
        <v>0.25</v>
      </c>
      <c r="D55" s="179"/>
      <c r="E55" s="140">
        <f t="shared" si="3"/>
        <v>0</v>
      </c>
      <c r="F55" s="133"/>
      <c r="G55" s="133"/>
      <c r="H55" s="133"/>
    </row>
    <row r="56" spans="1:8" x14ac:dyDescent="0.2">
      <c r="A56" s="65" t="s">
        <v>132</v>
      </c>
      <c r="B56" s="139">
        <v>120</v>
      </c>
      <c r="C56" s="139">
        <v>0.3</v>
      </c>
      <c r="D56" s="179"/>
      <c r="E56" s="140">
        <f t="shared" si="3"/>
        <v>0</v>
      </c>
      <c r="F56" s="133"/>
      <c r="G56" s="133"/>
      <c r="H56" s="133"/>
    </row>
    <row r="57" spans="1:8" x14ac:dyDescent="0.2">
      <c r="A57" s="65" t="s">
        <v>133</v>
      </c>
      <c r="B57" s="139">
        <v>30</v>
      </c>
      <c r="C57" s="139">
        <v>0.3</v>
      </c>
      <c r="D57" s="179"/>
      <c r="E57" s="140">
        <f t="shared" si="3"/>
        <v>0</v>
      </c>
      <c r="F57" s="133"/>
      <c r="G57" s="133"/>
      <c r="H57" s="133"/>
    </row>
    <row r="58" spans="1:8" x14ac:dyDescent="0.2">
      <c r="A58" s="65" t="s">
        <v>134</v>
      </c>
      <c r="B58" s="139">
        <v>30</v>
      </c>
      <c r="C58" s="139">
        <v>0.3</v>
      </c>
      <c r="D58" s="179"/>
      <c r="E58" s="140">
        <f t="shared" si="3"/>
        <v>0</v>
      </c>
      <c r="F58" s="133"/>
      <c r="G58" s="133"/>
      <c r="H58" s="133"/>
    </row>
    <row r="59" spans="1:8" x14ac:dyDescent="0.2">
      <c r="A59" s="65" t="s">
        <v>135</v>
      </c>
      <c r="B59" s="139">
        <v>60</v>
      </c>
      <c r="C59" s="139">
        <v>0.3</v>
      </c>
      <c r="D59" s="179"/>
      <c r="E59" s="140">
        <f t="shared" si="3"/>
        <v>0</v>
      </c>
      <c r="F59" s="133"/>
      <c r="G59" s="133"/>
      <c r="H59" s="133"/>
    </row>
    <row r="60" spans="1:8" x14ac:dyDescent="0.2">
      <c r="A60" s="65" t="s">
        <v>140</v>
      </c>
      <c r="B60" s="139">
        <v>36</v>
      </c>
      <c r="C60" s="139">
        <v>0.5</v>
      </c>
      <c r="D60" s="179"/>
      <c r="E60" s="140">
        <f t="shared" si="3"/>
        <v>0</v>
      </c>
      <c r="F60" s="133"/>
      <c r="G60" s="133"/>
      <c r="H60" s="133"/>
    </row>
    <row r="61" spans="1:8" x14ac:dyDescent="0.2">
      <c r="A61" s="65" t="s">
        <v>141</v>
      </c>
      <c r="B61" s="139">
        <v>60</v>
      </c>
      <c r="C61" s="139">
        <v>0.5</v>
      </c>
      <c r="D61" s="179"/>
      <c r="E61" s="140">
        <f t="shared" si="3"/>
        <v>0</v>
      </c>
      <c r="F61" s="133"/>
      <c r="G61" s="133"/>
      <c r="H61" s="133"/>
    </row>
    <row r="62" spans="1:8" x14ac:dyDescent="0.2">
      <c r="A62" s="65" t="s">
        <v>136</v>
      </c>
      <c r="B62" s="139">
        <v>60</v>
      </c>
      <c r="C62" s="139">
        <v>1</v>
      </c>
      <c r="D62" s="179"/>
      <c r="E62" s="140">
        <f t="shared" si="3"/>
        <v>0</v>
      </c>
      <c r="F62" s="133"/>
      <c r="G62" s="133"/>
      <c r="H62" s="133"/>
    </row>
    <row r="63" spans="1:8" x14ac:dyDescent="0.2">
      <c r="A63" s="65"/>
      <c r="B63" s="139"/>
      <c r="C63" s="139"/>
      <c r="D63" s="140"/>
      <c r="E63" s="140"/>
      <c r="F63" s="143">
        <f>SUM(E51:E63)</f>
        <v>0</v>
      </c>
      <c r="G63" s="133"/>
      <c r="H63" s="133"/>
    </row>
    <row r="64" spans="1:8" x14ac:dyDescent="0.2">
      <c r="A64" s="133"/>
      <c r="B64" s="133"/>
      <c r="C64" s="133"/>
      <c r="D64" s="133"/>
      <c r="E64" s="133"/>
      <c r="F64" s="134"/>
      <c r="G64" s="134"/>
      <c r="H64" s="133"/>
    </row>
    <row r="65" spans="1:8" x14ac:dyDescent="0.2">
      <c r="A65" s="65" t="s">
        <v>29</v>
      </c>
      <c r="B65" s="143">
        <f>+G47+F63</f>
        <v>0</v>
      </c>
      <c r="C65" s="150"/>
      <c r="D65" s="150"/>
      <c r="E65" s="133"/>
      <c r="F65" s="134"/>
      <c r="G65" s="134"/>
      <c r="H65" s="133"/>
    </row>
    <row r="66" spans="1:8" x14ac:dyDescent="0.2">
      <c r="A66" s="133"/>
      <c r="B66" s="133"/>
      <c r="C66" s="133"/>
      <c r="D66" s="133"/>
      <c r="E66" s="133"/>
      <c r="F66" s="134"/>
      <c r="G66" s="134"/>
      <c r="H66" s="133"/>
    </row>
    <row r="67" spans="1:8" ht="28.5" customHeight="1" x14ac:dyDescent="0.2">
      <c r="A67" s="599" t="s">
        <v>292</v>
      </c>
      <c r="B67" s="599"/>
      <c r="C67" s="599"/>
      <c r="D67" s="599"/>
      <c r="E67" s="599"/>
      <c r="F67" s="599"/>
      <c r="G67" s="599"/>
      <c r="H67" s="133"/>
    </row>
    <row r="68" spans="1:8" x14ac:dyDescent="0.2">
      <c r="A68" s="382"/>
      <c r="B68" s="382"/>
      <c r="C68" s="382"/>
      <c r="D68" s="382"/>
      <c r="E68" s="382"/>
      <c r="F68" s="383"/>
      <c r="G68" s="383"/>
      <c r="H68" s="133"/>
    </row>
    <row r="69" spans="1:8" ht="40.5" customHeight="1" x14ac:dyDescent="0.2">
      <c r="A69" s="599" t="s">
        <v>291</v>
      </c>
      <c r="B69" s="599"/>
      <c r="C69" s="599"/>
      <c r="D69" s="599"/>
      <c r="E69" s="599"/>
      <c r="F69" s="599"/>
      <c r="G69" s="599"/>
      <c r="H69" s="133"/>
    </row>
    <row r="71" spans="1:8" x14ac:dyDescent="0.2">
      <c r="A71" s="600" t="s">
        <v>327</v>
      </c>
      <c r="B71" s="601"/>
      <c r="C71" s="601"/>
      <c r="D71" s="601"/>
      <c r="E71" s="601"/>
      <c r="F71" s="601"/>
      <c r="G71" s="602"/>
    </row>
    <row r="72" spans="1:8" ht="48" x14ac:dyDescent="0.2">
      <c r="A72" s="135" t="s">
        <v>112</v>
      </c>
      <c r="B72" s="135" t="s">
        <v>113</v>
      </c>
      <c r="C72" s="135" t="s">
        <v>114</v>
      </c>
      <c r="D72" s="135" t="s">
        <v>115</v>
      </c>
      <c r="E72" s="63" t="s">
        <v>435</v>
      </c>
      <c r="F72" s="136" t="s">
        <v>150</v>
      </c>
      <c r="G72" s="138"/>
    </row>
    <row r="73" spans="1:8" x14ac:dyDescent="0.2">
      <c r="A73" s="65" t="s">
        <v>118</v>
      </c>
      <c r="B73" s="139">
        <v>6</v>
      </c>
      <c r="C73" s="139">
        <v>2</v>
      </c>
      <c r="D73" s="139">
        <f>+C73*2</f>
        <v>4</v>
      </c>
      <c r="E73" s="179"/>
      <c r="F73" s="140">
        <f>+(E73*D73)/12</f>
        <v>0</v>
      </c>
      <c r="G73" s="142"/>
    </row>
    <row r="74" spans="1:8" x14ac:dyDescent="0.2">
      <c r="A74" s="65" t="s">
        <v>119</v>
      </c>
      <c r="B74" s="139">
        <v>6</v>
      </c>
      <c r="C74" s="139">
        <v>2</v>
      </c>
      <c r="D74" s="139">
        <f>+C74*2</f>
        <v>4</v>
      </c>
      <c r="E74" s="179"/>
      <c r="F74" s="140">
        <f t="shared" ref="F74:F80" si="4">+(E74*D74)/12</f>
        <v>0</v>
      </c>
      <c r="G74" s="142"/>
    </row>
    <row r="75" spans="1:8" x14ac:dyDescent="0.2">
      <c r="A75" s="65" t="s">
        <v>120</v>
      </c>
      <c r="B75" s="139">
        <v>6</v>
      </c>
      <c r="C75" s="139">
        <v>2</v>
      </c>
      <c r="D75" s="139">
        <f>+C75*2</f>
        <v>4</v>
      </c>
      <c r="E75" s="179"/>
      <c r="F75" s="140">
        <f t="shared" si="4"/>
        <v>0</v>
      </c>
      <c r="G75" s="142"/>
    </row>
    <row r="76" spans="1:8" x14ac:dyDescent="0.2">
      <c r="A76" s="65" t="s">
        <v>336</v>
      </c>
      <c r="B76" s="139">
        <v>12</v>
      </c>
      <c r="C76" s="139">
        <v>1</v>
      </c>
      <c r="D76" s="139">
        <v>2</v>
      </c>
      <c r="E76" s="179"/>
      <c r="F76" s="140">
        <f t="shared" si="4"/>
        <v>0</v>
      </c>
      <c r="G76" s="142"/>
    </row>
    <row r="77" spans="1:8" x14ac:dyDescent="0.2">
      <c r="A77" s="65" t="s">
        <v>121</v>
      </c>
      <c r="B77" s="139">
        <v>12</v>
      </c>
      <c r="C77" s="139"/>
      <c r="D77" s="139">
        <v>1</v>
      </c>
      <c r="E77" s="179"/>
      <c r="F77" s="140">
        <f t="shared" si="4"/>
        <v>0</v>
      </c>
      <c r="G77" s="142"/>
    </row>
    <row r="78" spans="1:8" x14ac:dyDescent="0.2">
      <c r="A78" s="65" t="s">
        <v>122</v>
      </c>
      <c r="B78" s="139">
        <v>12</v>
      </c>
      <c r="C78" s="139"/>
      <c r="D78" s="139">
        <v>1</v>
      </c>
      <c r="E78" s="179"/>
      <c r="F78" s="140">
        <f t="shared" si="4"/>
        <v>0</v>
      </c>
      <c r="G78" s="142"/>
    </row>
    <row r="79" spans="1:8" x14ac:dyDescent="0.2">
      <c r="A79" s="65" t="s">
        <v>123</v>
      </c>
      <c r="B79" s="139">
        <v>12</v>
      </c>
      <c r="C79" s="139"/>
      <c r="D79" s="139">
        <v>1</v>
      </c>
      <c r="E79" s="179"/>
      <c r="F79" s="140">
        <f t="shared" si="4"/>
        <v>0</v>
      </c>
      <c r="G79" s="142"/>
    </row>
    <row r="80" spans="1:8" x14ac:dyDescent="0.2">
      <c r="A80" s="65" t="s">
        <v>124</v>
      </c>
      <c r="B80" s="139">
        <v>12</v>
      </c>
      <c r="C80" s="139"/>
      <c r="D80" s="139">
        <v>1</v>
      </c>
      <c r="E80" s="179"/>
      <c r="F80" s="140">
        <f t="shared" si="4"/>
        <v>0</v>
      </c>
      <c r="G80" s="142"/>
    </row>
    <row r="81" spans="1:7" x14ac:dyDescent="0.2">
      <c r="A81" s="65" t="s">
        <v>125</v>
      </c>
      <c r="B81" s="139">
        <v>6</v>
      </c>
      <c r="C81" s="139">
        <v>1</v>
      </c>
      <c r="D81" s="139"/>
      <c r="E81" s="179"/>
      <c r="F81" s="140">
        <f>+(E81)/12</f>
        <v>0</v>
      </c>
      <c r="G81" s="142"/>
    </row>
    <row r="82" spans="1:7" x14ac:dyDescent="0.2">
      <c r="A82" s="65"/>
      <c r="B82" s="139"/>
      <c r="C82" s="139"/>
      <c r="D82" s="139"/>
      <c r="E82" s="140"/>
      <c r="F82" s="140">
        <v>0</v>
      </c>
      <c r="G82" s="143">
        <f>ROUND(SUM(F73:F81),2)</f>
        <v>0</v>
      </c>
    </row>
    <row r="83" spans="1:7" x14ac:dyDescent="0.2">
      <c r="A83" s="144"/>
      <c r="B83" s="145"/>
      <c r="C83" s="145"/>
      <c r="D83" s="145"/>
      <c r="E83" s="145"/>
      <c r="F83" s="134"/>
      <c r="G83" s="134"/>
    </row>
    <row r="84" spans="1:7" x14ac:dyDescent="0.2">
      <c r="A84" s="603" t="s">
        <v>328</v>
      </c>
      <c r="B84" s="603"/>
      <c r="C84" s="603"/>
      <c r="D84" s="603"/>
      <c r="E84" s="603"/>
      <c r="F84" s="147"/>
      <c r="G84" s="147"/>
    </row>
    <row r="85" spans="1:7" ht="36" x14ac:dyDescent="0.2">
      <c r="A85" s="148" t="s">
        <v>112</v>
      </c>
      <c r="B85" s="148" t="s">
        <v>113</v>
      </c>
      <c r="C85" s="148" t="s">
        <v>142</v>
      </c>
      <c r="D85" s="64" t="s">
        <v>435</v>
      </c>
      <c r="E85" s="136" t="s">
        <v>150</v>
      </c>
      <c r="F85" s="138"/>
      <c r="G85" s="138"/>
    </row>
    <row r="86" spans="1:7" x14ac:dyDescent="0.2">
      <c r="A86" s="65" t="s">
        <v>129</v>
      </c>
      <c r="B86" s="139">
        <v>30</v>
      </c>
      <c r="C86" s="139">
        <v>1</v>
      </c>
      <c r="D86" s="179"/>
      <c r="E86" s="140">
        <f>+(D86/B86)*C86</f>
        <v>0</v>
      </c>
      <c r="F86" s="133"/>
      <c r="G86" s="133"/>
    </row>
    <row r="87" spans="1:7" x14ac:dyDescent="0.2">
      <c r="A87" s="65" t="s">
        <v>130</v>
      </c>
      <c r="B87" s="139">
        <v>30</v>
      </c>
      <c r="C87" s="139">
        <v>1</v>
      </c>
      <c r="D87" s="179"/>
      <c r="E87" s="140">
        <f>+(D87/B87)*C87</f>
        <v>0</v>
      </c>
      <c r="F87" s="133"/>
      <c r="G87" s="133"/>
    </row>
    <row r="88" spans="1:7" x14ac:dyDescent="0.2">
      <c r="A88" s="65" t="s">
        <v>145</v>
      </c>
      <c r="B88" s="139">
        <v>60</v>
      </c>
      <c r="C88" s="139">
        <v>0.25</v>
      </c>
      <c r="D88" s="179"/>
      <c r="E88" s="140">
        <f>+(D88/B88)*C88</f>
        <v>0</v>
      </c>
      <c r="F88" s="133"/>
      <c r="G88" s="133"/>
    </row>
    <row r="89" spans="1:7" x14ac:dyDescent="0.2">
      <c r="A89" s="65"/>
      <c r="B89" s="139"/>
      <c r="C89" s="139"/>
      <c r="D89" s="140"/>
      <c r="E89" s="140"/>
      <c r="F89" s="143">
        <f>ROUND(SUM(E86:E88),2)</f>
        <v>0</v>
      </c>
      <c r="G89" s="133"/>
    </row>
    <row r="90" spans="1:7" x14ac:dyDescent="0.2">
      <c r="A90" s="133"/>
      <c r="B90" s="133"/>
      <c r="C90" s="133"/>
      <c r="D90" s="133"/>
      <c r="E90" s="133"/>
      <c r="F90" s="134"/>
      <c r="G90" s="134"/>
    </row>
    <row r="91" spans="1:7" x14ac:dyDescent="0.2">
      <c r="A91" s="65" t="s">
        <v>29</v>
      </c>
      <c r="B91" s="143">
        <f>+G82+F89</f>
        <v>0</v>
      </c>
      <c r="C91" s="150"/>
      <c r="D91" s="150"/>
      <c r="E91" s="133"/>
      <c r="F91" s="134"/>
      <c r="G91" s="134"/>
    </row>
    <row r="92" spans="1:7" x14ac:dyDescent="0.2">
      <c r="A92" s="133"/>
      <c r="B92" s="133"/>
      <c r="C92" s="133"/>
      <c r="D92" s="133"/>
      <c r="E92" s="381"/>
      <c r="F92" s="134"/>
      <c r="G92" s="134"/>
    </row>
    <row r="93" spans="1:7" ht="31.5" customHeight="1" x14ac:dyDescent="0.2">
      <c r="A93" s="599" t="s">
        <v>331</v>
      </c>
      <c r="B93" s="599"/>
      <c r="C93" s="599"/>
      <c r="D93" s="599"/>
      <c r="E93" s="599"/>
      <c r="F93" s="599"/>
      <c r="G93" s="599"/>
    </row>
    <row r="95" spans="1:7" x14ac:dyDescent="0.2">
      <c r="A95" s="600" t="s">
        <v>329</v>
      </c>
      <c r="B95" s="601"/>
      <c r="C95" s="601"/>
      <c r="D95" s="601"/>
      <c r="E95" s="601"/>
      <c r="F95" s="601"/>
      <c r="G95" s="602"/>
    </row>
    <row r="96" spans="1:7" ht="48" x14ac:dyDescent="0.2">
      <c r="A96" s="135" t="s">
        <v>112</v>
      </c>
      <c r="B96" s="135" t="s">
        <v>113</v>
      </c>
      <c r="C96" s="135" t="s">
        <v>114</v>
      </c>
      <c r="D96" s="135" t="s">
        <v>115</v>
      </c>
      <c r="E96" s="63" t="s">
        <v>138</v>
      </c>
      <c r="F96" s="136" t="s">
        <v>117</v>
      </c>
      <c r="G96" s="137"/>
    </row>
    <row r="97" spans="1:7" x14ac:dyDescent="0.2">
      <c r="A97" s="65" t="s">
        <v>118</v>
      </c>
      <c r="B97" s="139">
        <v>6</v>
      </c>
      <c r="C97" s="139">
        <f>+D97/2</f>
        <v>2</v>
      </c>
      <c r="D97" s="139">
        <v>4</v>
      </c>
      <c r="E97" s="179"/>
      <c r="F97" s="140">
        <f t="shared" ref="F97:F104" si="5">+(E97*D97)/12</f>
        <v>0</v>
      </c>
    </row>
    <row r="98" spans="1:7" x14ac:dyDescent="0.2">
      <c r="A98" s="65" t="s">
        <v>119</v>
      </c>
      <c r="B98" s="139">
        <v>6</v>
      </c>
      <c r="C98" s="139">
        <f>+D98/2</f>
        <v>2</v>
      </c>
      <c r="D98" s="139">
        <v>4</v>
      </c>
      <c r="E98" s="179"/>
      <c r="F98" s="140">
        <f t="shared" si="5"/>
        <v>0</v>
      </c>
    </row>
    <row r="99" spans="1:7" x14ac:dyDescent="0.2">
      <c r="A99" s="65" t="s">
        <v>120</v>
      </c>
      <c r="B99" s="139">
        <v>6</v>
      </c>
      <c r="C99" s="139">
        <f>+D99/2</f>
        <v>2</v>
      </c>
      <c r="D99" s="139">
        <v>4</v>
      </c>
      <c r="E99" s="179"/>
      <c r="F99" s="140">
        <f t="shared" si="5"/>
        <v>0</v>
      </c>
    </row>
    <row r="100" spans="1:7" x14ac:dyDescent="0.2">
      <c r="A100" s="65" t="s">
        <v>336</v>
      </c>
      <c r="B100" s="139">
        <v>12</v>
      </c>
      <c r="C100" s="139">
        <v>1</v>
      </c>
      <c r="D100" s="139">
        <v>2</v>
      </c>
      <c r="E100" s="179"/>
      <c r="F100" s="140">
        <f t="shared" si="5"/>
        <v>0</v>
      </c>
    </row>
    <row r="101" spans="1:7" x14ac:dyDescent="0.2">
      <c r="A101" s="65" t="s">
        <v>121</v>
      </c>
      <c r="B101" s="139">
        <v>12</v>
      </c>
      <c r="C101" s="139"/>
      <c r="D101" s="139">
        <v>1</v>
      </c>
      <c r="E101" s="179"/>
      <c r="F101" s="140">
        <f t="shared" si="5"/>
        <v>0</v>
      </c>
    </row>
    <row r="102" spans="1:7" x14ac:dyDescent="0.2">
      <c r="A102" s="65" t="s">
        <v>122</v>
      </c>
      <c r="B102" s="139">
        <v>12</v>
      </c>
      <c r="C102" s="139"/>
      <c r="D102" s="139">
        <v>1</v>
      </c>
      <c r="E102" s="179"/>
      <c r="F102" s="140">
        <f t="shared" si="5"/>
        <v>0</v>
      </c>
    </row>
    <row r="103" spans="1:7" x14ac:dyDescent="0.2">
      <c r="A103" s="65" t="s">
        <v>123</v>
      </c>
      <c r="B103" s="139">
        <v>12</v>
      </c>
      <c r="C103" s="139"/>
      <c r="D103" s="139">
        <v>1</v>
      </c>
      <c r="E103" s="179"/>
      <c r="F103" s="140">
        <f t="shared" si="5"/>
        <v>0</v>
      </c>
    </row>
    <row r="104" spans="1:7" x14ac:dyDescent="0.2">
      <c r="A104" s="65" t="s">
        <v>124</v>
      </c>
      <c r="B104" s="139">
        <v>12</v>
      </c>
      <c r="C104" s="139"/>
      <c r="D104" s="139">
        <v>1</v>
      </c>
      <c r="E104" s="179"/>
      <c r="F104" s="140">
        <f t="shared" si="5"/>
        <v>0</v>
      </c>
    </row>
    <row r="105" spans="1:7" x14ac:dyDescent="0.2">
      <c r="A105" s="65" t="s">
        <v>125</v>
      </c>
      <c r="B105" s="139">
        <v>6</v>
      </c>
      <c r="C105" s="139">
        <v>1</v>
      </c>
      <c r="D105" s="139"/>
      <c r="E105" s="179"/>
      <c r="F105" s="140">
        <f>+E105/12</f>
        <v>0</v>
      </c>
    </row>
    <row r="106" spans="1:7" x14ac:dyDescent="0.2">
      <c r="A106" s="65"/>
      <c r="B106" s="139"/>
      <c r="C106" s="139"/>
      <c r="D106" s="139"/>
      <c r="E106" s="140"/>
      <c r="F106" s="140"/>
      <c r="G106" s="143">
        <f>SUM(F97:F106)</f>
        <v>0</v>
      </c>
    </row>
    <row r="107" spans="1:7" x14ac:dyDescent="0.2">
      <c r="A107" s="144"/>
      <c r="B107" s="145"/>
      <c r="C107" s="145"/>
      <c r="D107" s="145"/>
      <c r="E107" s="145"/>
      <c r="F107" s="134"/>
      <c r="G107" s="134"/>
    </row>
    <row r="108" spans="1:7" x14ac:dyDescent="0.2">
      <c r="A108" s="604" t="s">
        <v>330</v>
      </c>
      <c r="B108" s="605"/>
      <c r="C108" s="605"/>
      <c r="D108" s="605"/>
      <c r="E108" s="606"/>
      <c r="F108" s="147"/>
      <c r="G108" s="147"/>
    </row>
    <row r="109" spans="1:7" ht="72" x14ac:dyDescent="0.2">
      <c r="A109" s="148" t="s">
        <v>112</v>
      </c>
      <c r="B109" s="148" t="s">
        <v>113</v>
      </c>
      <c r="C109" s="148" t="s">
        <v>116</v>
      </c>
      <c r="D109" s="149" t="s">
        <v>138</v>
      </c>
      <c r="E109" s="149" t="s">
        <v>117</v>
      </c>
      <c r="F109" s="138"/>
      <c r="G109" s="138"/>
    </row>
    <row r="110" spans="1:7" x14ac:dyDescent="0.2">
      <c r="A110" s="65" t="s">
        <v>129</v>
      </c>
      <c r="B110" s="139">
        <v>30</v>
      </c>
      <c r="C110" s="139">
        <v>1</v>
      </c>
      <c r="D110" s="179"/>
      <c r="E110" s="140">
        <f>+(D110/B110)*C110</f>
        <v>0</v>
      </c>
      <c r="F110" s="133"/>
      <c r="G110" s="133"/>
    </row>
    <row r="111" spans="1:7" x14ac:dyDescent="0.2">
      <c r="A111" s="65" t="s">
        <v>130</v>
      </c>
      <c r="B111" s="139">
        <v>30</v>
      </c>
      <c r="C111" s="139">
        <v>1</v>
      </c>
      <c r="D111" s="179"/>
      <c r="E111" s="140">
        <f>+(D111/B111)*C111</f>
        <v>0</v>
      </c>
      <c r="F111" s="133"/>
      <c r="G111" s="133"/>
    </row>
    <row r="112" spans="1:7" x14ac:dyDescent="0.2">
      <c r="A112" s="65" t="s">
        <v>131</v>
      </c>
      <c r="B112" s="139">
        <v>60</v>
      </c>
      <c r="C112" s="139">
        <v>0.25</v>
      </c>
      <c r="D112" s="179"/>
      <c r="E112" s="140">
        <f>+(D112/B112)*C112</f>
        <v>0</v>
      </c>
      <c r="F112" s="133"/>
      <c r="G112" s="133"/>
    </row>
    <row r="113" spans="1:7" x14ac:dyDescent="0.2">
      <c r="A113" s="65" t="s">
        <v>140</v>
      </c>
      <c r="B113" s="139">
        <v>36</v>
      </c>
      <c r="C113" s="139">
        <v>0.5</v>
      </c>
      <c r="D113" s="179"/>
      <c r="E113" s="140">
        <f>+(D113/B113)*C113</f>
        <v>0</v>
      </c>
      <c r="F113" s="133"/>
      <c r="G113" s="133"/>
    </row>
    <row r="114" spans="1:7" x14ac:dyDescent="0.2">
      <c r="A114" s="65"/>
      <c r="B114" s="139"/>
      <c r="C114" s="139"/>
      <c r="D114" s="140"/>
      <c r="E114" s="140"/>
      <c r="F114" s="143">
        <f>SUM(E110:E114)</f>
        <v>0</v>
      </c>
      <c r="G114" s="133"/>
    </row>
    <row r="115" spans="1:7" x14ac:dyDescent="0.2">
      <c r="A115" s="133"/>
      <c r="B115" s="133"/>
      <c r="C115" s="133"/>
      <c r="D115" s="133"/>
      <c r="E115" s="133"/>
      <c r="F115" s="134"/>
      <c r="G115" s="134"/>
    </row>
    <row r="116" spans="1:7" x14ac:dyDescent="0.2">
      <c r="A116" s="65" t="s">
        <v>29</v>
      </c>
      <c r="B116" s="143">
        <f>+G106+F114</f>
        <v>0</v>
      </c>
      <c r="C116" s="150"/>
      <c r="D116" s="150"/>
      <c r="E116" s="133"/>
      <c r="F116" s="134"/>
      <c r="G116" s="134"/>
    </row>
    <row r="117" spans="1:7" x14ac:dyDescent="0.2">
      <c r="A117" s="133"/>
      <c r="B117" s="133"/>
      <c r="C117" s="133"/>
      <c r="D117" s="133"/>
      <c r="E117" s="133"/>
      <c r="F117" s="134"/>
      <c r="G117" s="134"/>
    </row>
    <row r="118" spans="1:7" ht="31.5" customHeight="1" x14ac:dyDescent="0.2">
      <c r="A118" s="599" t="s">
        <v>331</v>
      </c>
      <c r="B118" s="599"/>
      <c r="C118" s="599"/>
      <c r="D118" s="599"/>
      <c r="E118" s="599"/>
      <c r="F118" s="599"/>
      <c r="G118" s="599"/>
    </row>
    <row r="120" spans="1:7" x14ac:dyDescent="0.2">
      <c r="A120" s="600" t="s">
        <v>364</v>
      </c>
      <c r="B120" s="601"/>
      <c r="C120" s="601"/>
      <c r="D120" s="601"/>
      <c r="E120" s="601"/>
      <c r="F120" s="601"/>
      <c r="G120" s="602"/>
    </row>
    <row r="121" spans="1:7" ht="48" x14ac:dyDescent="0.2">
      <c r="A121" s="135" t="s">
        <v>112</v>
      </c>
      <c r="B121" s="135" t="s">
        <v>113</v>
      </c>
      <c r="C121" s="135" t="s">
        <v>114</v>
      </c>
      <c r="D121" s="135" t="s">
        <v>115</v>
      </c>
      <c r="E121" s="63" t="s">
        <v>435</v>
      </c>
      <c r="F121" s="136" t="s">
        <v>150</v>
      </c>
      <c r="G121" s="138"/>
    </row>
    <row r="122" spans="1:7" x14ac:dyDescent="0.2">
      <c r="A122" s="65" t="s">
        <v>118</v>
      </c>
      <c r="B122" s="139">
        <v>6</v>
      </c>
      <c r="C122" s="139">
        <v>3</v>
      </c>
      <c r="D122" s="139">
        <f>+C122*2</f>
        <v>6</v>
      </c>
      <c r="E122" s="179"/>
      <c r="F122" s="140">
        <f>+(E122*D122)/12</f>
        <v>0</v>
      </c>
      <c r="G122" s="142"/>
    </row>
    <row r="123" spans="1:7" x14ac:dyDescent="0.2">
      <c r="A123" s="65" t="s">
        <v>119</v>
      </c>
      <c r="B123" s="139">
        <v>6</v>
      </c>
      <c r="C123" s="139">
        <v>3</v>
      </c>
      <c r="D123" s="139">
        <f>+C123*2</f>
        <v>6</v>
      </c>
      <c r="E123" s="179"/>
      <c r="F123" s="140">
        <f t="shared" ref="F123:F129" si="6">+(E123*D123)/12</f>
        <v>0</v>
      </c>
      <c r="G123" s="142"/>
    </row>
    <row r="124" spans="1:7" x14ac:dyDescent="0.2">
      <c r="A124" s="65" t="s">
        <v>120</v>
      </c>
      <c r="B124" s="139">
        <v>6</v>
      </c>
      <c r="C124" s="139">
        <v>3</v>
      </c>
      <c r="D124" s="139">
        <f>+C124*2</f>
        <v>6</v>
      </c>
      <c r="E124" s="179"/>
      <c r="F124" s="140">
        <f t="shared" si="6"/>
        <v>0</v>
      </c>
      <c r="G124" s="142"/>
    </row>
    <row r="125" spans="1:7" x14ac:dyDescent="0.2">
      <c r="A125" s="65" t="s">
        <v>336</v>
      </c>
      <c r="B125" s="139">
        <v>12</v>
      </c>
      <c r="C125" s="139">
        <v>1</v>
      </c>
      <c r="D125" s="139">
        <v>2</v>
      </c>
      <c r="E125" s="179"/>
      <c r="F125" s="140">
        <f t="shared" si="6"/>
        <v>0</v>
      </c>
      <c r="G125" s="142"/>
    </row>
    <row r="126" spans="1:7" x14ac:dyDescent="0.2">
      <c r="A126" s="65" t="s">
        <v>121</v>
      </c>
      <c r="B126" s="139">
        <v>12</v>
      </c>
      <c r="C126" s="139"/>
      <c r="D126" s="139">
        <v>1</v>
      </c>
      <c r="E126" s="179"/>
      <c r="F126" s="140">
        <f t="shared" si="6"/>
        <v>0</v>
      </c>
      <c r="G126" s="142"/>
    </row>
    <row r="127" spans="1:7" x14ac:dyDescent="0.2">
      <c r="A127" s="65" t="s">
        <v>122</v>
      </c>
      <c r="B127" s="139">
        <v>12</v>
      </c>
      <c r="C127" s="139"/>
      <c r="D127" s="139">
        <v>1</v>
      </c>
      <c r="E127" s="179"/>
      <c r="F127" s="140">
        <f t="shared" si="6"/>
        <v>0</v>
      </c>
      <c r="G127" s="142"/>
    </row>
    <row r="128" spans="1:7" x14ac:dyDescent="0.2">
      <c r="A128" s="65" t="s">
        <v>123</v>
      </c>
      <c r="B128" s="139">
        <v>12</v>
      </c>
      <c r="C128" s="139"/>
      <c r="D128" s="139">
        <v>1</v>
      </c>
      <c r="E128" s="179"/>
      <c r="F128" s="140">
        <f t="shared" si="6"/>
        <v>0</v>
      </c>
      <c r="G128" s="142"/>
    </row>
    <row r="129" spans="1:7" x14ac:dyDescent="0.2">
      <c r="A129" s="65" t="s">
        <v>124</v>
      </c>
      <c r="B129" s="139">
        <v>12</v>
      </c>
      <c r="C129" s="139"/>
      <c r="D129" s="139">
        <v>1</v>
      </c>
      <c r="E129" s="179"/>
      <c r="F129" s="140">
        <f t="shared" si="6"/>
        <v>0</v>
      </c>
      <c r="G129" s="142"/>
    </row>
    <row r="130" spans="1:7" x14ac:dyDescent="0.2">
      <c r="A130" s="65" t="s">
        <v>125</v>
      </c>
      <c r="B130" s="139">
        <v>6</v>
      </c>
      <c r="C130" s="139">
        <v>1</v>
      </c>
      <c r="D130" s="139"/>
      <c r="E130" s="179"/>
      <c r="F130" s="140">
        <f>+(E130)/12</f>
        <v>0</v>
      </c>
      <c r="G130" s="142"/>
    </row>
    <row r="131" spans="1:7" x14ac:dyDescent="0.2">
      <c r="A131" s="65"/>
      <c r="B131" s="139"/>
      <c r="C131" s="139"/>
      <c r="D131" s="139"/>
      <c r="E131" s="140"/>
      <c r="F131" s="140">
        <v>0</v>
      </c>
      <c r="G131" s="143">
        <f>ROUND(SUM(F122:F130),2)</f>
        <v>0</v>
      </c>
    </row>
    <row r="132" spans="1:7" x14ac:dyDescent="0.2">
      <c r="A132" s="144"/>
      <c r="B132" s="145"/>
      <c r="C132" s="145"/>
      <c r="D132" s="145"/>
      <c r="E132" s="145"/>
      <c r="F132" s="134"/>
      <c r="G132" s="134"/>
    </row>
    <row r="133" spans="1:7" x14ac:dyDescent="0.2">
      <c r="A133" s="603" t="s">
        <v>126</v>
      </c>
      <c r="B133" s="603"/>
      <c r="C133" s="603"/>
      <c r="D133" s="603"/>
      <c r="E133" s="603"/>
      <c r="F133" s="147"/>
      <c r="G133" s="147"/>
    </row>
    <row r="134" spans="1:7" ht="36" x14ac:dyDescent="0.2">
      <c r="A134" s="148" t="s">
        <v>112</v>
      </c>
      <c r="B134" s="148" t="s">
        <v>113</v>
      </c>
      <c r="C134" s="148" t="s">
        <v>142</v>
      </c>
      <c r="D134" s="64" t="s">
        <v>435</v>
      </c>
      <c r="E134" s="136" t="s">
        <v>150</v>
      </c>
      <c r="F134" s="138"/>
      <c r="G134" s="138"/>
    </row>
    <row r="135" spans="1:7" x14ac:dyDescent="0.2">
      <c r="A135" s="65" t="s">
        <v>143</v>
      </c>
      <c r="B135" s="139">
        <v>30</v>
      </c>
      <c r="C135" s="139">
        <v>0.5</v>
      </c>
      <c r="D135" s="179"/>
      <c r="E135" s="140">
        <f>+(D135/B135)*C135</f>
        <v>0</v>
      </c>
      <c r="F135" s="133"/>
      <c r="G135" s="133"/>
    </row>
    <row r="136" spans="1:7" x14ac:dyDescent="0.2">
      <c r="A136" s="65" t="s">
        <v>144</v>
      </c>
      <c r="B136" s="139">
        <v>30</v>
      </c>
      <c r="C136" s="139">
        <v>0.5</v>
      </c>
      <c r="D136" s="179"/>
      <c r="E136" s="140">
        <f t="shared" ref="E136:E144" si="7">+(D136/B136)*C136</f>
        <v>0</v>
      </c>
      <c r="F136" s="133"/>
      <c r="G136" s="133"/>
    </row>
    <row r="137" spans="1:7" x14ac:dyDescent="0.2">
      <c r="A137" s="65" t="s">
        <v>129</v>
      </c>
      <c r="B137" s="139">
        <v>30</v>
      </c>
      <c r="C137" s="139">
        <v>1</v>
      </c>
      <c r="D137" s="179"/>
      <c r="E137" s="140">
        <f t="shared" si="7"/>
        <v>0</v>
      </c>
      <c r="F137" s="133"/>
      <c r="G137" s="133"/>
    </row>
    <row r="138" spans="1:7" x14ac:dyDescent="0.2">
      <c r="A138" s="65" t="s">
        <v>130</v>
      </c>
      <c r="B138" s="139">
        <v>30</v>
      </c>
      <c r="C138" s="139">
        <v>1</v>
      </c>
      <c r="D138" s="179"/>
      <c r="E138" s="140">
        <f t="shared" si="7"/>
        <v>0</v>
      </c>
      <c r="F138" s="133"/>
      <c r="G138" s="133"/>
    </row>
    <row r="139" spans="1:7" x14ac:dyDescent="0.2">
      <c r="A139" s="65" t="s">
        <v>145</v>
      </c>
      <c r="B139" s="139">
        <v>60</v>
      </c>
      <c r="C139" s="139">
        <v>0.5</v>
      </c>
      <c r="D139" s="179"/>
      <c r="E139" s="140">
        <f t="shared" si="7"/>
        <v>0</v>
      </c>
      <c r="F139" s="133"/>
      <c r="G139" s="133"/>
    </row>
    <row r="140" spans="1:7" x14ac:dyDescent="0.2">
      <c r="A140" s="65" t="s">
        <v>146</v>
      </c>
      <c r="B140" s="139">
        <v>120</v>
      </c>
      <c r="C140" s="139">
        <v>0.3</v>
      </c>
      <c r="D140" s="179"/>
      <c r="E140" s="140">
        <f t="shared" si="7"/>
        <v>0</v>
      </c>
      <c r="F140" s="133"/>
      <c r="G140" s="133"/>
    </row>
    <row r="141" spans="1:7" x14ac:dyDescent="0.2">
      <c r="A141" s="65" t="s">
        <v>147</v>
      </c>
      <c r="B141" s="139">
        <v>30</v>
      </c>
      <c r="C141" s="139">
        <v>0.3</v>
      </c>
      <c r="D141" s="179"/>
      <c r="E141" s="140">
        <f t="shared" si="7"/>
        <v>0</v>
      </c>
      <c r="F141" s="133"/>
      <c r="G141" s="133"/>
    </row>
    <row r="142" spans="1:7" x14ac:dyDescent="0.2">
      <c r="A142" s="65" t="s">
        <v>148</v>
      </c>
      <c r="B142" s="139">
        <v>30</v>
      </c>
      <c r="C142" s="139">
        <v>0.3</v>
      </c>
      <c r="D142" s="179"/>
      <c r="E142" s="140">
        <f t="shared" si="7"/>
        <v>0</v>
      </c>
      <c r="F142" s="133"/>
      <c r="G142" s="133"/>
    </row>
    <row r="143" spans="1:7" x14ac:dyDescent="0.2">
      <c r="A143" s="65" t="s">
        <v>149</v>
      </c>
      <c r="B143" s="139">
        <v>24</v>
      </c>
      <c r="C143" s="139">
        <v>0.3</v>
      </c>
      <c r="D143" s="179"/>
      <c r="E143" s="140">
        <f t="shared" si="7"/>
        <v>0</v>
      </c>
      <c r="F143" s="133"/>
      <c r="G143" s="133"/>
    </row>
    <row r="144" spans="1:7" x14ac:dyDescent="0.2">
      <c r="A144" s="65" t="s">
        <v>141</v>
      </c>
      <c r="B144" s="139">
        <v>60</v>
      </c>
      <c r="C144" s="139">
        <v>0.5</v>
      </c>
      <c r="D144" s="179"/>
      <c r="E144" s="140">
        <f t="shared" si="7"/>
        <v>0</v>
      </c>
      <c r="F144" s="133"/>
      <c r="G144" s="133"/>
    </row>
    <row r="145" spans="1:7" x14ac:dyDescent="0.2">
      <c r="A145" s="65" t="s">
        <v>136</v>
      </c>
      <c r="B145" s="139">
        <v>60</v>
      </c>
      <c r="C145" s="139">
        <v>1</v>
      </c>
      <c r="D145" s="179"/>
      <c r="E145" s="140">
        <f>+(D145/B145)*C145</f>
        <v>0</v>
      </c>
      <c r="F145" s="133"/>
      <c r="G145" s="133"/>
    </row>
    <row r="146" spans="1:7" x14ac:dyDescent="0.2">
      <c r="A146" s="65"/>
      <c r="B146" s="139"/>
      <c r="C146" s="139"/>
      <c r="D146" s="140"/>
      <c r="E146" s="140"/>
      <c r="F146" s="143">
        <f>ROUND(SUM(E135:E145),2)</f>
        <v>0</v>
      </c>
      <c r="G146" s="133"/>
    </row>
    <row r="147" spans="1:7" x14ac:dyDescent="0.2">
      <c r="A147" s="133"/>
      <c r="B147" s="133"/>
      <c r="C147" s="133"/>
      <c r="D147" s="133"/>
      <c r="E147" s="133"/>
      <c r="F147" s="134"/>
      <c r="G147" s="134"/>
    </row>
    <row r="148" spans="1:7" x14ac:dyDescent="0.2">
      <c r="A148" s="65" t="s">
        <v>29</v>
      </c>
      <c r="B148" s="143">
        <f>+G131+F146</f>
        <v>0</v>
      </c>
      <c r="C148" s="150"/>
      <c r="D148" s="150"/>
      <c r="E148" s="133"/>
      <c r="F148" s="134"/>
      <c r="G148" s="134"/>
    </row>
    <row r="149" spans="1:7" x14ac:dyDescent="0.2">
      <c r="A149" s="133"/>
      <c r="B149" s="133"/>
      <c r="C149" s="133"/>
      <c r="D149" s="133"/>
      <c r="E149" s="381"/>
      <c r="F149" s="134"/>
      <c r="G149" s="134"/>
    </row>
    <row r="150" spans="1:7" x14ac:dyDescent="0.2">
      <c r="A150" s="599" t="s">
        <v>292</v>
      </c>
      <c r="B150" s="599"/>
      <c r="C150" s="599"/>
      <c r="D150" s="599"/>
      <c r="E150" s="599"/>
      <c r="F150" s="599"/>
      <c r="G150" s="599"/>
    </row>
    <row r="151" spans="1:7" x14ac:dyDescent="0.2">
      <c r="A151" s="382"/>
      <c r="B151" s="382"/>
      <c r="C151" s="382"/>
      <c r="D151" s="382"/>
      <c r="E151" s="382"/>
      <c r="F151" s="383"/>
      <c r="G151" s="383"/>
    </row>
    <row r="152" spans="1:7" x14ac:dyDescent="0.2">
      <c r="A152" s="599" t="s">
        <v>291</v>
      </c>
      <c r="B152" s="599"/>
      <c r="C152" s="599"/>
      <c r="D152" s="599"/>
      <c r="E152" s="599"/>
      <c r="F152" s="599"/>
      <c r="G152" s="599"/>
    </row>
    <row r="154" spans="1:7" x14ac:dyDescent="0.2">
      <c r="A154" s="600" t="s">
        <v>363</v>
      </c>
      <c r="B154" s="601"/>
      <c r="C154" s="601"/>
      <c r="D154" s="601"/>
      <c r="E154" s="601"/>
      <c r="F154" s="601"/>
      <c r="G154" s="602"/>
    </row>
    <row r="155" spans="1:7" ht="48" x14ac:dyDescent="0.2">
      <c r="A155" s="135" t="s">
        <v>112</v>
      </c>
      <c r="B155" s="135" t="s">
        <v>113</v>
      </c>
      <c r="C155" s="135" t="s">
        <v>114</v>
      </c>
      <c r="D155" s="135" t="s">
        <v>115</v>
      </c>
      <c r="E155" s="63" t="s">
        <v>435</v>
      </c>
      <c r="F155" s="136" t="s">
        <v>150</v>
      </c>
      <c r="G155" s="138"/>
    </row>
    <row r="156" spans="1:7" x14ac:dyDescent="0.2">
      <c r="A156" s="65" t="s">
        <v>118</v>
      </c>
      <c r="B156" s="139">
        <v>6</v>
      </c>
      <c r="C156" s="139">
        <v>3</v>
      </c>
      <c r="D156" s="139">
        <f>+C156*2</f>
        <v>6</v>
      </c>
      <c r="E156" s="179"/>
      <c r="F156" s="140">
        <f>+(E156*D156)/12</f>
        <v>0</v>
      </c>
      <c r="G156" s="142"/>
    </row>
    <row r="157" spans="1:7" x14ac:dyDescent="0.2">
      <c r="A157" s="65" t="s">
        <v>119</v>
      </c>
      <c r="B157" s="139">
        <v>6</v>
      </c>
      <c r="C157" s="139">
        <v>3</v>
      </c>
      <c r="D157" s="139">
        <f>+C157*2</f>
        <v>6</v>
      </c>
      <c r="E157" s="179"/>
      <c r="F157" s="140">
        <f t="shared" ref="F157:F163" si="8">+(E157*D157)/12</f>
        <v>0</v>
      </c>
      <c r="G157" s="142"/>
    </row>
    <row r="158" spans="1:7" x14ac:dyDescent="0.2">
      <c r="A158" s="65" t="s">
        <v>120</v>
      </c>
      <c r="B158" s="139">
        <v>6</v>
      </c>
      <c r="C158" s="139">
        <v>3</v>
      </c>
      <c r="D158" s="139">
        <f>+C158*2</f>
        <v>6</v>
      </c>
      <c r="E158" s="179"/>
      <c r="F158" s="140">
        <f t="shared" si="8"/>
        <v>0</v>
      </c>
      <c r="G158" s="142"/>
    </row>
    <row r="159" spans="1:7" x14ac:dyDescent="0.2">
      <c r="A159" s="65" t="s">
        <v>336</v>
      </c>
      <c r="B159" s="139">
        <v>12</v>
      </c>
      <c r="C159" s="139">
        <v>1</v>
      </c>
      <c r="D159" s="139">
        <v>2</v>
      </c>
      <c r="E159" s="179"/>
      <c r="F159" s="140">
        <f t="shared" si="8"/>
        <v>0</v>
      </c>
      <c r="G159" s="142"/>
    </row>
    <row r="160" spans="1:7" x14ac:dyDescent="0.2">
      <c r="A160" s="65" t="s">
        <v>121</v>
      </c>
      <c r="B160" s="139">
        <v>12</v>
      </c>
      <c r="C160" s="139"/>
      <c r="D160" s="139">
        <v>1</v>
      </c>
      <c r="E160" s="179"/>
      <c r="F160" s="140">
        <f t="shared" si="8"/>
        <v>0</v>
      </c>
      <c r="G160" s="142"/>
    </row>
    <row r="161" spans="1:7" x14ac:dyDescent="0.2">
      <c r="A161" s="65" t="s">
        <v>122</v>
      </c>
      <c r="B161" s="139">
        <v>12</v>
      </c>
      <c r="C161" s="139"/>
      <c r="D161" s="139">
        <v>1</v>
      </c>
      <c r="E161" s="179"/>
      <c r="F161" s="140">
        <f t="shared" si="8"/>
        <v>0</v>
      </c>
      <c r="G161" s="142"/>
    </row>
    <row r="162" spans="1:7" x14ac:dyDescent="0.2">
      <c r="A162" s="65" t="s">
        <v>123</v>
      </c>
      <c r="B162" s="139">
        <v>12</v>
      </c>
      <c r="C162" s="139"/>
      <c r="D162" s="139">
        <v>1</v>
      </c>
      <c r="E162" s="179"/>
      <c r="F162" s="140">
        <f t="shared" si="8"/>
        <v>0</v>
      </c>
      <c r="G162" s="142"/>
    </row>
    <row r="163" spans="1:7" x14ac:dyDescent="0.2">
      <c r="A163" s="65" t="s">
        <v>124</v>
      </c>
      <c r="B163" s="139">
        <v>12</v>
      </c>
      <c r="C163" s="139"/>
      <c r="D163" s="139">
        <v>1</v>
      </c>
      <c r="E163" s="179"/>
      <c r="F163" s="140">
        <f t="shared" si="8"/>
        <v>0</v>
      </c>
      <c r="G163" s="142"/>
    </row>
    <row r="164" spans="1:7" x14ac:dyDescent="0.2">
      <c r="A164" s="65" t="s">
        <v>125</v>
      </c>
      <c r="B164" s="139">
        <v>6</v>
      </c>
      <c r="C164" s="139">
        <v>1</v>
      </c>
      <c r="D164" s="139"/>
      <c r="E164" s="179"/>
      <c r="F164" s="140">
        <f>+(E164)/12</f>
        <v>0</v>
      </c>
      <c r="G164" s="142"/>
    </row>
    <row r="165" spans="1:7" x14ac:dyDescent="0.2">
      <c r="A165" s="65"/>
      <c r="B165" s="139"/>
      <c r="C165" s="139"/>
      <c r="D165" s="139"/>
      <c r="E165" s="140"/>
      <c r="F165" s="140">
        <v>0</v>
      </c>
      <c r="G165" s="143">
        <f>ROUND(SUM(F156:F164),2)</f>
        <v>0</v>
      </c>
    </row>
    <row r="166" spans="1:7" x14ac:dyDescent="0.2">
      <c r="A166" s="144"/>
      <c r="B166" s="145"/>
      <c r="C166" s="145"/>
      <c r="D166" s="145"/>
      <c r="E166" s="145"/>
      <c r="F166" s="134"/>
      <c r="G166" s="134"/>
    </row>
    <row r="167" spans="1:7" x14ac:dyDescent="0.2">
      <c r="A167" s="603" t="s">
        <v>328</v>
      </c>
      <c r="B167" s="603"/>
      <c r="C167" s="603"/>
      <c r="D167" s="603"/>
      <c r="E167" s="603"/>
      <c r="F167" s="147"/>
      <c r="G167" s="147"/>
    </row>
    <row r="168" spans="1:7" ht="36" x14ac:dyDescent="0.2">
      <c r="A168" s="148" t="s">
        <v>112</v>
      </c>
      <c r="B168" s="148" t="s">
        <v>113</v>
      </c>
      <c r="C168" s="148" t="s">
        <v>142</v>
      </c>
      <c r="D168" s="64" t="s">
        <v>435</v>
      </c>
      <c r="E168" s="136" t="s">
        <v>150</v>
      </c>
      <c r="F168" s="138"/>
      <c r="G168" s="138"/>
    </row>
    <row r="169" spans="1:7" x14ac:dyDescent="0.2">
      <c r="A169" s="65" t="s">
        <v>129</v>
      </c>
      <c r="B169" s="139">
        <v>30</v>
      </c>
      <c r="C169" s="139">
        <v>1</v>
      </c>
      <c r="D169" s="179"/>
      <c r="E169" s="140">
        <f>+(D169/B169)*C169</f>
        <v>0</v>
      </c>
      <c r="F169" s="133"/>
      <c r="G169" s="133"/>
    </row>
    <row r="170" spans="1:7" x14ac:dyDescent="0.2">
      <c r="A170" s="65" t="s">
        <v>130</v>
      </c>
      <c r="B170" s="139">
        <v>30</v>
      </c>
      <c r="C170" s="139">
        <v>1</v>
      </c>
      <c r="D170" s="179"/>
      <c r="E170" s="140">
        <f>+(D170/B170)*C170</f>
        <v>0</v>
      </c>
      <c r="F170" s="133"/>
      <c r="G170" s="133"/>
    </row>
    <row r="171" spans="1:7" x14ac:dyDescent="0.2">
      <c r="A171" s="65" t="s">
        <v>145</v>
      </c>
      <c r="B171" s="139">
        <v>60</v>
      </c>
      <c r="C171" s="139">
        <v>0.5</v>
      </c>
      <c r="D171" s="179"/>
      <c r="E171" s="140">
        <f>+(D171/B171)*C171</f>
        <v>0</v>
      </c>
      <c r="F171" s="133"/>
      <c r="G171" s="133"/>
    </row>
    <row r="172" spans="1:7" x14ac:dyDescent="0.2">
      <c r="A172" s="65"/>
      <c r="B172" s="139"/>
      <c r="C172" s="139"/>
      <c r="D172" s="140"/>
      <c r="E172" s="140"/>
      <c r="F172" s="143">
        <f>ROUND(SUM(E169:E171),2)</f>
        <v>0</v>
      </c>
      <c r="G172" s="133"/>
    </row>
    <row r="173" spans="1:7" x14ac:dyDescent="0.2">
      <c r="A173" s="133"/>
      <c r="B173" s="133"/>
      <c r="C173" s="133"/>
      <c r="D173" s="133"/>
      <c r="E173" s="133"/>
      <c r="F173" s="134"/>
      <c r="G173" s="134"/>
    </row>
    <row r="174" spans="1:7" x14ac:dyDescent="0.2">
      <c r="A174" s="65" t="s">
        <v>29</v>
      </c>
      <c r="B174" s="143">
        <f>+G165+F172</f>
        <v>0</v>
      </c>
      <c r="C174" s="150"/>
      <c r="D174" s="150"/>
      <c r="E174" s="133"/>
      <c r="F174" s="134"/>
      <c r="G174" s="134"/>
    </row>
  </sheetData>
  <mergeCells count="20">
    <mergeCell ref="A154:G154"/>
    <mergeCell ref="A167:E167"/>
    <mergeCell ref="A120:G120"/>
    <mergeCell ref="A133:E133"/>
    <mergeCell ref="A150:G150"/>
    <mergeCell ref="A152:G152"/>
    <mergeCell ref="A118:G118"/>
    <mergeCell ref="A71:G71"/>
    <mergeCell ref="A84:E84"/>
    <mergeCell ref="A93:G93"/>
    <mergeCell ref="A95:G95"/>
    <mergeCell ref="A108:E108"/>
    <mergeCell ref="A67:G67"/>
    <mergeCell ref="A69:G69"/>
    <mergeCell ref="A1:G1"/>
    <mergeCell ref="A14:E14"/>
    <mergeCell ref="A31:G31"/>
    <mergeCell ref="A33:G33"/>
    <mergeCell ref="A36:G36"/>
    <mergeCell ref="A49:E49"/>
  </mergeCells>
  <pageMargins left="0.78740157480314965" right="3.937007874015748E-2" top="0.35433070866141736" bottom="0.51" header="0.31496062992125984" footer="0.31496062992125984"/>
  <pageSetup paperSize="9" scale="75" orientation="portrait" r:id="rId1"/>
  <headerFooter>
    <oddFooter>&amp;A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32"/>
  <sheetViews>
    <sheetView workbookViewId="0">
      <selection activeCell="B41" sqref="B41"/>
    </sheetView>
  </sheetViews>
  <sheetFormatPr defaultRowHeight="12.75" x14ac:dyDescent="0.2"/>
  <cols>
    <col min="2" max="2" width="31.125" customWidth="1"/>
    <col min="3" max="3" width="8.75" bestFit="1" customWidth="1"/>
    <col min="4" max="4" width="7.875" customWidth="1"/>
    <col min="5" max="5" width="12.75" customWidth="1"/>
    <col min="6" max="6" width="19.25" customWidth="1"/>
    <col min="7" max="7" width="8" bestFit="1" customWidth="1"/>
    <col min="8" max="8" width="12.375" customWidth="1"/>
    <col min="9" max="9" width="13.75" customWidth="1"/>
    <col min="10" max="10" width="13.125" customWidth="1"/>
    <col min="11" max="11" width="16.125" customWidth="1"/>
    <col min="12" max="12" width="18.5" customWidth="1"/>
    <col min="13" max="13" width="17.625" customWidth="1"/>
    <col min="14" max="14" width="18.375" customWidth="1"/>
  </cols>
  <sheetData>
    <row r="1" spans="1:13" ht="12.75" customHeight="1" x14ac:dyDescent="0.25">
      <c r="A1" s="425">
        <v>3</v>
      </c>
      <c r="B1" s="425"/>
      <c r="C1" s="425"/>
      <c r="D1" s="425"/>
      <c r="E1" s="425"/>
      <c r="F1" s="425"/>
      <c r="G1" s="425"/>
      <c r="H1" s="425"/>
      <c r="I1" s="425"/>
      <c r="J1" s="425"/>
      <c r="K1" s="425"/>
      <c r="L1" s="425"/>
      <c r="M1" s="425"/>
    </row>
    <row r="2" spans="1:13" ht="36.75" thickBot="1" x14ac:dyDescent="0.25">
      <c r="A2" s="423" t="s">
        <v>308</v>
      </c>
      <c r="B2" s="424"/>
      <c r="C2" s="215"/>
      <c r="D2" s="224" t="s">
        <v>309</v>
      </c>
      <c r="E2" s="224" t="s">
        <v>310</v>
      </c>
      <c r="F2" s="224" t="s">
        <v>311</v>
      </c>
      <c r="G2" s="224" t="s">
        <v>319</v>
      </c>
      <c r="H2" s="220" t="s">
        <v>312</v>
      </c>
      <c r="I2" s="216" t="s">
        <v>382</v>
      </c>
      <c r="J2" s="216" t="s">
        <v>324</v>
      </c>
      <c r="K2" s="216" t="s">
        <v>383</v>
      </c>
      <c r="L2" s="216" t="s">
        <v>384</v>
      </c>
      <c r="M2" s="216" t="s">
        <v>323</v>
      </c>
    </row>
    <row r="3" spans="1:13" x14ac:dyDescent="0.2">
      <c r="A3" s="438" t="s">
        <v>390</v>
      </c>
      <c r="B3" s="438"/>
      <c r="C3" s="236" t="s">
        <v>318</v>
      </c>
      <c r="D3" s="225" t="s">
        <v>314</v>
      </c>
      <c r="E3" s="225" t="s">
        <v>315</v>
      </c>
      <c r="F3" s="226" t="s">
        <v>316</v>
      </c>
      <c r="G3" s="227">
        <v>14</v>
      </c>
      <c r="H3" s="227">
        <f>+G3*2</f>
        <v>28</v>
      </c>
      <c r="I3" s="217">
        <f>+J3*2</f>
        <v>0</v>
      </c>
      <c r="J3" s="277">
        <f>+'Vigilante 12X36 Diurno Arm'!$D$153</f>
        <v>0</v>
      </c>
      <c r="K3" s="217">
        <f>+J3*H3</f>
        <v>0</v>
      </c>
      <c r="L3" s="217">
        <f>+K3*12</f>
        <v>0</v>
      </c>
      <c r="M3" s="278"/>
    </row>
    <row r="4" spans="1:13" x14ac:dyDescent="0.2">
      <c r="A4" s="438"/>
      <c r="B4" s="438"/>
      <c r="C4" s="237" t="s">
        <v>318</v>
      </c>
      <c r="D4" s="228" t="s">
        <v>314</v>
      </c>
      <c r="E4" s="228" t="s">
        <v>317</v>
      </c>
      <c r="F4" s="229" t="s">
        <v>316</v>
      </c>
      <c r="G4" s="34">
        <v>12</v>
      </c>
      <c r="H4" s="34">
        <f>+G4*2</f>
        <v>24</v>
      </c>
      <c r="I4" s="8">
        <f>+J4*2</f>
        <v>0</v>
      </c>
      <c r="J4" s="276">
        <f>+'Vigilante 12x36 Noturno Arm'!$D$153</f>
        <v>0</v>
      </c>
      <c r="K4" s="8">
        <f t="shared" ref="K4:K10" si="0">+J4*H4</f>
        <v>0</v>
      </c>
      <c r="L4" s="8">
        <f t="shared" ref="L4:L10" si="1">+K4*12</f>
        <v>0</v>
      </c>
      <c r="M4" s="279"/>
    </row>
    <row r="5" spans="1:13" x14ac:dyDescent="0.2">
      <c r="A5" s="438"/>
      <c r="B5" s="438"/>
      <c r="C5" s="237" t="s">
        <v>313</v>
      </c>
      <c r="D5" s="228" t="s">
        <v>314</v>
      </c>
      <c r="E5" s="228" t="s">
        <v>315</v>
      </c>
      <c r="F5" s="229" t="s">
        <v>316</v>
      </c>
      <c r="G5" s="34">
        <v>4</v>
      </c>
      <c r="H5" s="34">
        <f>+G5*2</f>
        <v>8</v>
      </c>
      <c r="I5" s="8">
        <f>+J5*2</f>
        <v>0</v>
      </c>
      <c r="J5" s="276">
        <f>+'Vigilante 12X36 Diurno Des'!$D$153</f>
        <v>0</v>
      </c>
      <c r="K5" s="8">
        <f t="shared" si="0"/>
        <v>0</v>
      </c>
      <c r="L5" s="8">
        <f t="shared" si="1"/>
        <v>0</v>
      </c>
      <c r="M5" s="279"/>
    </row>
    <row r="6" spans="1:13" x14ac:dyDescent="0.2">
      <c r="A6" s="438"/>
      <c r="B6" s="438"/>
      <c r="C6" s="237" t="s">
        <v>313</v>
      </c>
      <c r="D6" s="228" t="s">
        <v>314</v>
      </c>
      <c r="E6" s="228" t="s">
        <v>317</v>
      </c>
      <c r="F6" s="229" t="s">
        <v>316</v>
      </c>
      <c r="G6" s="34">
        <v>2</v>
      </c>
      <c r="H6" s="34">
        <f>+G6*2</f>
        <v>4</v>
      </c>
      <c r="I6" s="8">
        <f>+J6*2</f>
        <v>0</v>
      </c>
      <c r="J6" s="276">
        <f>+'Vigilante 12X36 Noturno Des'!$D$155</f>
        <v>0</v>
      </c>
      <c r="K6" s="8">
        <f t="shared" si="0"/>
        <v>0</v>
      </c>
      <c r="L6" s="8">
        <f t="shared" si="1"/>
        <v>0</v>
      </c>
      <c r="M6" s="279"/>
    </row>
    <row r="7" spans="1:13" ht="13.5" thickBot="1" x14ac:dyDescent="0.25">
      <c r="A7" s="438"/>
      <c r="B7" s="438"/>
      <c r="C7" s="239" t="s">
        <v>313</v>
      </c>
      <c r="D7" s="233" t="s">
        <v>374</v>
      </c>
      <c r="E7" s="233" t="s">
        <v>375</v>
      </c>
      <c r="F7" s="234" t="s">
        <v>340</v>
      </c>
      <c r="G7" s="235">
        <v>5</v>
      </c>
      <c r="H7" s="235">
        <f>+G7*1</f>
        <v>5</v>
      </c>
      <c r="I7" s="261">
        <f>+J7</f>
        <v>0</v>
      </c>
      <c r="J7" s="280">
        <f>+'Vigilante 44h Desarm'!$D$155</f>
        <v>0</v>
      </c>
      <c r="K7" s="261">
        <f t="shared" si="0"/>
        <v>0</v>
      </c>
      <c r="L7" s="261">
        <f t="shared" si="1"/>
        <v>0</v>
      </c>
      <c r="M7" s="285">
        <f>+L7+L6+L5+L4+L3</f>
        <v>0</v>
      </c>
    </row>
    <row r="8" spans="1:13" x14ac:dyDescent="0.2">
      <c r="A8" s="439" t="s">
        <v>391</v>
      </c>
      <c r="B8" s="439"/>
      <c r="C8" s="236" t="s">
        <v>318</v>
      </c>
      <c r="D8" s="225" t="s">
        <v>314</v>
      </c>
      <c r="E8" s="225" t="s">
        <v>315</v>
      </c>
      <c r="F8" s="226" t="s">
        <v>316</v>
      </c>
      <c r="G8" s="227">
        <v>3</v>
      </c>
      <c r="H8" s="227">
        <f>+G8*2</f>
        <v>6</v>
      </c>
      <c r="I8" s="217">
        <f>+J8*2</f>
        <v>0</v>
      </c>
      <c r="J8" s="277">
        <f>+'Vigilante 12X36 Diurno Arm'!$D$153</f>
        <v>0</v>
      </c>
      <c r="K8" s="217">
        <f t="shared" si="0"/>
        <v>0</v>
      </c>
      <c r="L8" s="217">
        <f t="shared" si="1"/>
        <v>0</v>
      </c>
      <c r="M8" s="278"/>
    </row>
    <row r="9" spans="1:13" x14ac:dyDescent="0.2">
      <c r="A9" s="439"/>
      <c r="B9" s="439"/>
      <c r="C9" s="237" t="s">
        <v>318</v>
      </c>
      <c r="D9" s="228" t="s">
        <v>314</v>
      </c>
      <c r="E9" s="228" t="s">
        <v>317</v>
      </c>
      <c r="F9" s="229" t="s">
        <v>316</v>
      </c>
      <c r="G9" s="34">
        <v>3</v>
      </c>
      <c r="H9" s="34">
        <f>+G9*2</f>
        <v>6</v>
      </c>
      <c r="I9" s="8">
        <f>+J9*2</f>
        <v>0</v>
      </c>
      <c r="J9" s="276">
        <f>+'Vigilante 12x36 Noturno Arm'!$D$153</f>
        <v>0</v>
      </c>
      <c r="K9" s="8">
        <f t="shared" si="0"/>
        <v>0</v>
      </c>
      <c r="L9" s="8">
        <f t="shared" si="1"/>
        <v>0</v>
      </c>
      <c r="M9" s="279"/>
    </row>
    <row r="10" spans="1:13" ht="13.5" thickBot="1" x14ac:dyDescent="0.25">
      <c r="A10" s="439"/>
      <c r="B10" s="439"/>
      <c r="C10" s="238" t="s">
        <v>318</v>
      </c>
      <c r="D10" s="230" t="s">
        <v>374</v>
      </c>
      <c r="E10" s="230" t="s">
        <v>375</v>
      </c>
      <c r="F10" s="231" t="s">
        <v>340</v>
      </c>
      <c r="G10" s="232">
        <v>4</v>
      </c>
      <c r="H10" s="232">
        <f>+G10*1</f>
        <v>4</v>
      </c>
      <c r="I10" s="218">
        <f>+J10</f>
        <v>0</v>
      </c>
      <c r="J10" s="282">
        <f>+'Vigilante 44h Arm'!$D$155</f>
        <v>0</v>
      </c>
      <c r="K10" s="218">
        <f t="shared" si="0"/>
        <v>0</v>
      </c>
      <c r="L10" s="218">
        <f t="shared" si="1"/>
        <v>0</v>
      </c>
      <c r="M10" s="286">
        <f>+L10+L9+L8</f>
        <v>0</v>
      </c>
    </row>
    <row r="11" spans="1:13" ht="13.5" thickBot="1" x14ac:dyDescent="0.25">
      <c r="G11" s="240">
        <f>SUM(G3:G10)</f>
        <v>47</v>
      </c>
      <c r="H11" s="241">
        <f>SUM(H3:H10)</f>
        <v>85</v>
      </c>
      <c r="K11" s="281">
        <f>SUM(K3:K10)</f>
        <v>0</v>
      </c>
      <c r="L11" s="281">
        <f>SUM(L3:L10)</f>
        <v>0</v>
      </c>
    </row>
    <row r="13" spans="1:13" ht="36" x14ac:dyDescent="0.2">
      <c r="D13" s="210" t="s">
        <v>309</v>
      </c>
      <c r="E13" s="210" t="s">
        <v>310</v>
      </c>
      <c r="F13" s="210" t="s">
        <v>311</v>
      </c>
      <c r="G13" s="210" t="s">
        <v>319</v>
      </c>
      <c r="H13" s="210" t="s">
        <v>312</v>
      </c>
    </row>
    <row r="14" spans="1:13" x14ac:dyDescent="0.2">
      <c r="C14" s="344" t="s">
        <v>318</v>
      </c>
      <c r="D14" s="345" t="s">
        <v>314</v>
      </c>
      <c r="E14" s="345" t="s">
        <v>315</v>
      </c>
      <c r="F14" s="346" t="s">
        <v>316</v>
      </c>
      <c r="G14" s="347">
        <f>+G3+G8</f>
        <v>17</v>
      </c>
      <c r="H14" s="347">
        <f>+H3+H8</f>
        <v>34</v>
      </c>
      <c r="K14" s="88"/>
    </row>
    <row r="15" spans="1:13" x14ac:dyDescent="0.2">
      <c r="C15" s="348" t="s">
        <v>318</v>
      </c>
      <c r="D15" s="349" t="s">
        <v>314</v>
      </c>
      <c r="E15" s="349" t="s">
        <v>317</v>
      </c>
      <c r="F15" s="350" t="s">
        <v>316</v>
      </c>
      <c r="G15" s="351">
        <f>+G4+G9</f>
        <v>15</v>
      </c>
      <c r="H15" s="351">
        <f>+H4+H9</f>
        <v>30</v>
      </c>
      <c r="K15" s="88"/>
    </row>
    <row r="16" spans="1:13" x14ac:dyDescent="0.2">
      <c r="C16" s="352" t="s">
        <v>318</v>
      </c>
      <c r="D16" s="353" t="s">
        <v>374</v>
      </c>
      <c r="E16" s="353" t="s">
        <v>375</v>
      </c>
      <c r="F16" s="354" t="s">
        <v>340</v>
      </c>
      <c r="G16" s="363">
        <f>+G10</f>
        <v>4</v>
      </c>
      <c r="H16" s="363">
        <f>+H10</f>
        <v>4</v>
      </c>
      <c r="K16" s="88"/>
    </row>
    <row r="17" spans="1:14" ht="5.25" customHeight="1" x14ac:dyDescent="0.2"/>
    <row r="18" spans="1:14" x14ac:dyDescent="0.2">
      <c r="C18" s="344" t="s">
        <v>313</v>
      </c>
      <c r="D18" s="345" t="s">
        <v>314</v>
      </c>
      <c r="E18" s="345" t="s">
        <v>315</v>
      </c>
      <c r="F18" s="346" t="s">
        <v>316</v>
      </c>
      <c r="G18" s="361">
        <f t="shared" ref="G18:G20" si="2">+G5</f>
        <v>4</v>
      </c>
      <c r="H18" s="361">
        <f>+H5</f>
        <v>8</v>
      </c>
    </row>
    <row r="19" spans="1:14" x14ac:dyDescent="0.2">
      <c r="C19" s="348" t="s">
        <v>313</v>
      </c>
      <c r="D19" s="349" t="s">
        <v>314</v>
      </c>
      <c r="E19" s="349" t="s">
        <v>317</v>
      </c>
      <c r="F19" s="350" t="s">
        <v>316</v>
      </c>
      <c r="G19" s="362">
        <f t="shared" si="2"/>
        <v>2</v>
      </c>
      <c r="H19" s="362">
        <f>+H6</f>
        <v>4</v>
      </c>
    </row>
    <row r="20" spans="1:14" x14ac:dyDescent="0.2">
      <c r="C20" s="352" t="s">
        <v>313</v>
      </c>
      <c r="D20" s="353" t="s">
        <v>374</v>
      </c>
      <c r="E20" s="353" t="s">
        <v>375</v>
      </c>
      <c r="F20" s="354" t="s">
        <v>340</v>
      </c>
      <c r="G20" s="355">
        <f t="shared" si="2"/>
        <v>5</v>
      </c>
      <c r="H20" s="355">
        <f>+H7</f>
        <v>5</v>
      </c>
    </row>
    <row r="21" spans="1:14" ht="3.75" customHeight="1" thickBot="1" x14ac:dyDescent="0.25"/>
    <row r="22" spans="1:14" ht="13.5" thickBot="1" x14ac:dyDescent="0.25">
      <c r="G22" s="221">
        <f>SUM(G14:G21)</f>
        <v>47</v>
      </c>
      <c r="H22" s="222">
        <f>SUM(H14:H21)</f>
        <v>85</v>
      </c>
    </row>
    <row r="23" spans="1:14" ht="13.5" thickBot="1" x14ac:dyDescent="0.25"/>
    <row r="24" spans="1:14" ht="30" customHeight="1" thickBot="1" x14ac:dyDescent="0.25">
      <c r="A24" s="440" t="s">
        <v>13</v>
      </c>
      <c r="B24" s="441"/>
      <c r="C24" s="441"/>
      <c r="D24" s="441"/>
      <c r="E24" s="441"/>
      <c r="F24" s="441"/>
      <c r="G24" s="442"/>
      <c r="H24" s="446" t="s">
        <v>14</v>
      </c>
      <c r="I24" s="428" t="s">
        <v>15</v>
      </c>
      <c r="J24" s="429"/>
      <c r="K24" s="426" t="s">
        <v>382</v>
      </c>
      <c r="L24" s="432" t="s">
        <v>324</v>
      </c>
      <c r="M24" s="432" t="s">
        <v>326</v>
      </c>
      <c r="N24" s="430" t="s">
        <v>325</v>
      </c>
    </row>
    <row r="25" spans="1:14" ht="27" customHeight="1" x14ac:dyDescent="0.2">
      <c r="A25" s="443"/>
      <c r="B25" s="444"/>
      <c r="C25" s="444"/>
      <c r="D25" s="444"/>
      <c r="E25" s="444"/>
      <c r="F25" s="444"/>
      <c r="G25" s="445"/>
      <c r="H25" s="447"/>
      <c r="I25" s="275" t="s">
        <v>320</v>
      </c>
      <c r="J25" s="269" t="s">
        <v>321</v>
      </c>
      <c r="K25" s="427"/>
      <c r="L25" s="433"/>
      <c r="M25" s="433"/>
      <c r="N25" s="431"/>
    </row>
    <row r="26" spans="1:14" ht="25.5" x14ac:dyDescent="0.2">
      <c r="A26" s="435" t="s">
        <v>413</v>
      </c>
      <c r="B26" s="242" t="s">
        <v>338</v>
      </c>
      <c r="C26" s="386" t="s">
        <v>301</v>
      </c>
      <c r="D26" s="448"/>
      <c r="E26" s="448"/>
      <c r="F26" s="448"/>
      <c r="G26" s="387"/>
      <c r="H26" s="242" t="s">
        <v>307</v>
      </c>
      <c r="I26" s="211">
        <f t="shared" ref="I26:J28" si="3">+G14</f>
        <v>17</v>
      </c>
      <c r="J26" s="211">
        <f t="shared" si="3"/>
        <v>34</v>
      </c>
      <c r="K26" s="212">
        <f>+L26*2</f>
        <v>0</v>
      </c>
      <c r="L26" s="271">
        <f>+'Vigilante 12X36 Diurno Arm'!$D$153</f>
        <v>0</v>
      </c>
      <c r="M26" s="213">
        <f t="shared" ref="M26:M31" si="4">+L26*J26</f>
        <v>0</v>
      </c>
      <c r="N26" s="213">
        <f t="shared" ref="N26:N31" si="5">+M26*12</f>
        <v>0</v>
      </c>
    </row>
    <row r="27" spans="1:14" ht="25.5" x14ac:dyDescent="0.2">
      <c r="A27" s="436"/>
      <c r="B27" s="242" t="s">
        <v>378</v>
      </c>
      <c r="C27" s="386" t="s">
        <v>300</v>
      </c>
      <c r="D27" s="448"/>
      <c r="E27" s="448"/>
      <c r="F27" s="448"/>
      <c r="G27" s="387"/>
      <c r="H27" s="242" t="s">
        <v>307</v>
      </c>
      <c r="I27" s="211">
        <f t="shared" si="3"/>
        <v>15</v>
      </c>
      <c r="J27" s="211">
        <f t="shared" si="3"/>
        <v>30</v>
      </c>
      <c r="K27" s="212">
        <f>+L27*2</f>
        <v>0</v>
      </c>
      <c r="L27" s="271">
        <f>+'Vigilante 12x36 Noturno Arm'!$D$153</f>
        <v>0</v>
      </c>
      <c r="M27" s="213">
        <f t="shared" si="4"/>
        <v>0</v>
      </c>
      <c r="N27" s="213">
        <f t="shared" si="5"/>
        <v>0</v>
      </c>
    </row>
    <row r="28" spans="1:14" ht="25.5" customHeight="1" x14ac:dyDescent="0.2">
      <c r="A28" s="436"/>
      <c r="B28" s="242" t="s">
        <v>380</v>
      </c>
      <c r="C28" s="386" t="s">
        <v>377</v>
      </c>
      <c r="D28" s="448"/>
      <c r="E28" s="448"/>
      <c r="F28" s="448"/>
      <c r="G28" s="387"/>
      <c r="H28" s="242" t="s">
        <v>339</v>
      </c>
      <c r="I28" s="211">
        <f t="shared" si="3"/>
        <v>4</v>
      </c>
      <c r="J28" s="211">
        <f t="shared" si="3"/>
        <v>4</v>
      </c>
      <c r="K28" s="212">
        <f>+L28</f>
        <v>0</v>
      </c>
      <c r="L28" s="271">
        <f>+'Vigilante 44h Arm'!$D$155</f>
        <v>0</v>
      </c>
      <c r="M28" s="213">
        <f t="shared" si="4"/>
        <v>0</v>
      </c>
      <c r="N28" s="213">
        <f t="shared" si="5"/>
        <v>0</v>
      </c>
    </row>
    <row r="29" spans="1:14" ht="25.5" customHeight="1" x14ac:dyDescent="0.2">
      <c r="A29" s="436"/>
      <c r="B29" s="242" t="s">
        <v>410</v>
      </c>
      <c r="C29" s="386" t="s">
        <v>299</v>
      </c>
      <c r="D29" s="448"/>
      <c r="E29" s="448"/>
      <c r="F29" s="448"/>
      <c r="G29" s="387"/>
      <c r="H29" s="242" t="s">
        <v>307</v>
      </c>
      <c r="I29" s="211">
        <f t="shared" ref="I29:J31" si="6">+G18</f>
        <v>4</v>
      </c>
      <c r="J29" s="211">
        <f t="shared" si="6"/>
        <v>8</v>
      </c>
      <c r="K29" s="212">
        <f>+L29*2</f>
        <v>0</v>
      </c>
      <c r="L29" s="271">
        <f>+'Vigilante 12X36 Diurno Des'!$D$153</f>
        <v>0</v>
      </c>
      <c r="M29" s="213">
        <f t="shared" si="4"/>
        <v>0</v>
      </c>
      <c r="N29" s="213">
        <f t="shared" si="5"/>
        <v>0</v>
      </c>
    </row>
    <row r="30" spans="1:14" ht="25.5" customHeight="1" x14ac:dyDescent="0.2">
      <c r="A30" s="436"/>
      <c r="B30" s="242" t="s">
        <v>411</v>
      </c>
      <c r="C30" s="386" t="s">
        <v>298</v>
      </c>
      <c r="D30" s="448"/>
      <c r="E30" s="448"/>
      <c r="F30" s="448"/>
      <c r="G30" s="387"/>
      <c r="H30" s="242" t="s">
        <v>307</v>
      </c>
      <c r="I30" s="211">
        <f t="shared" si="6"/>
        <v>2</v>
      </c>
      <c r="J30" s="211">
        <f t="shared" si="6"/>
        <v>4</v>
      </c>
      <c r="K30" s="212">
        <f>+L30*2</f>
        <v>0</v>
      </c>
      <c r="L30" s="271">
        <f>+'Vigilante 12X36 Noturno Des'!$D$155</f>
        <v>0</v>
      </c>
      <c r="M30" s="213">
        <f t="shared" si="4"/>
        <v>0</v>
      </c>
      <c r="N30" s="213">
        <f t="shared" si="5"/>
        <v>0</v>
      </c>
    </row>
    <row r="31" spans="1:14" ht="25.5" customHeight="1" x14ac:dyDescent="0.2">
      <c r="A31" s="437"/>
      <c r="B31" s="242" t="s">
        <v>412</v>
      </c>
      <c r="C31" s="386" t="s">
        <v>379</v>
      </c>
      <c r="D31" s="448"/>
      <c r="E31" s="448"/>
      <c r="F31" s="448"/>
      <c r="G31" s="387"/>
      <c r="H31" s="242" t="s">
        <v>339</v>
      </c>
      <c r="I31" s="211">
        <f t="shared" si="6"/>
        <v>5</v>
      </c>
      <c r="J31" s="211">
        <f t="shared" si="6"/>
        <v>5</v>
      </c>
      <c r="K31" s="212">
        <f>+L31</f>
        <v>0</v>
      </c>
      <c r="L31" s="271">
        <f>+'Vigilante 44h Desarm'!$D$155</f>
        <v>0</v>
      </c>
      <c r="M31" s="213">
        <f t="shared" si="4"/>
        <v>0</v>
      </c>
      <c r="N31" s="213">
        <f t="shared" si="5"/>
        <v>0</v>
      </c>
    </row>
    <row r="32" spans="1:14" x14ac:dyDescent="0.2">
      <c r="I32" s="223">
        <f>SUM(I26:I31)</f>
        <v>47</v>
      </c>
      <c r="J32" s="223">
        <f>SUM(J26:J31)</f>
        <v>85</v>
      </c>
      <c r="M32" s="214">
        <f>SUM(M26:M31)</f>
        <v>0</v>
      </c>
      <c r="N32" s="214">
        <f>SUM(N26:N31)</f>
        <v>0</v>
      </c>
    </row>
  </sheetData>
  <mergeCells count="18">
    <mergeCell ref="N24:N25"/>
    <mergeCell ref="A3:B7"/>
    <mergeCell ref="A8:B10"/>
    <mergeCell ref="C30:G30"/>
    <mergeCell ref="A26:A31"/>
    <mergeCell ref="C26:G26"/>
    <mergeCell ref="C27:G27"/>
    <mergeCell ref="C28:G28"/>
    <mergeCell ref="C29:G29"/>
    <mergeCell ref="C31:G31"/>
    <mergeCell ref="A24:G25"/>
    <mergeCell ref="H24:H25"/>
    <mergeCell ref="A2:B2"/>
    <mergeCell ref="A1:M1"/>
    <mergeCell ref="I24:J24"/>
    <mergeCell ref="K24:K25"/>
    <mergeCell ref="L24:L25"/>
    <mergeCell ref="M24:M25"/>
  </mergeCells>
  <pageMargins left="0.11" right="0.08" top="1.07" bottom="0.78740157480314965" header="0.31496062992125984" footer="0.31496062992125984"/>
  <pageSetup paperSize="9" scale="62" orientation="landscape" r:id="rId1"/>
  <headerFooter>
    <oddFooter>&amp;A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49"/>
  <sheetViews>
    <sheetView workbookViewId="0">
      <selection activeCell="C46" sqref="C46:G46"/>
    </sheetView>
  </sheetViews>
  <sheetFormatPr defaultRowHeight="12.75" x14ac:dyDescent="0.2"/>
  <cols>
    <col min="1" max="1" width="6.125" customWidth="1"/>
    <col min="2" max="2" width="20.5" customWidth="1"/>
    <col min="3" max="3" width="8.75" bestFit="1" customWidth="1"/>
    <col min="4" max="4" width="7.875" customWidth="1"/>
    <col min="5" max="5" width="12.75" customWidth="1"/>
    <col min="6" max="6" width="19.25" customWidth="1"/>
    <col min="7" max="7" width="8" bestFit="1" customWidth="1"/>
    <col min="8" max="8" width="12.375" customWidth="1"/>
    <col min="9" max="9" width="12.875" customWidth="1"/>
    <col min="10" max="10" width="11.75" customWidth="1"/>
    <col min="11" max="11" width="15.625" customWidth="1"/>
    <col min="12" max="12" width="18.625" customWidth="1"/>
    <col min="13" max="13" width="15.625" customWidth="1"/>
    <col min="14" max="14" width="18.125" customWidth="1"/>
  </cols>
  <sheetData>
    <row r="1" spans="1:13" ht="12.75" customHeight="1" x14ac:dyDescent="0.25">
      <c r="A1" s="425" t="s">
        <v>392</v>
      </c>
      <c r="B1" s="425"/>
      <c r="C1" s="425"/>
      <c r="D1" s="425"/>
      <c r="E1" s="425"/>
      <c r="F1" s="425"/>
      <c r="G1" s="425"/>
      <c r="H1" s="425"/>
      <c r="I1" s="425"/>
      <c r="J1" s="425"/>
      <c r="K1" s="425"/>
      <c r="L1" s="425"/>
      <c r="M1" s="425"/>
    </row>
    <row r="2" spans="1:13" ht="45.75" thickBot="1" x14ac:dyDescent="0.25">
      <c r="A2" s="423" t="s">
        <v>308</v>
      </c>
      <c r="B2" s="424"/>
      <c r="C2" s="215"/>
      <c r="D2" s="224" t="s">
        <v>309</v>
      </c>
      <c r="E2" s="224" t="s">
        <v>310</v>
      </c>
      <c r="F2" s="224" t="s">
        <v>311</v>
      </c>
      <c r="G2" s="224" t="s">
        <v>319</v>
      </c>
      <c r="H2" s="220" t="s">
        <v>312</v>
      </c>
      <c r="I2" s="216" t="s">
        <v>382</v>
      </c>
      <c r="J2" s="216" t="s">
        <v>324</v>
      </c>
      <c r="K2" s="216" t="s">
        <v>383</v>
      </c>
      <c r="L2" s="216" t="s">
        <v>384</v>
      </c>
      <c r="M2" s="216" t="s">
        <v>323</v>
      </c>
    </row>
    <row r="3" spans="1:13" ht="12.75" customHeight="1" x14ac:dyDescent="0.2">
      <c r="A3" s="438" t="s">
        <v>393</v>
      </c>
      <c r="B3" s="438"/>
      <c r="C3" s="236" t="s">
        <v>313</v>
      </c>
      <c r="D3" s="225" t="s">
        <v>314</v>
      </c>
      <c r="E3" s="225" t="s">
        <v>315</v>
      </c>
      <c r="F3" s="226" t="s">
        <v>316</v>
      </c>
      <c r="G3" s="227">
        <v>3</v>
      </c>
      <c r="H3" s="227">
        <f>+G3*2</f>
        <v>6</v>
      </c>
      <c r="I3" s="217">
        <f>+J3*2</f>
        <v>0</v>
      </c>
      <c r="J3" s="293">
        <f>+'Vigilante 12X36 Diurno Des'!$D$153</f>
        <v>0</v>
      </c>
      <c r="K3" s="217">
        <f>+J3*H3</f>
        <v>0</v>
      </c>
      <c r="L3" s="217">
        <f>+K3*12</f>
        <v>0</v>
      </c>
      <c r="M3" s="278"/>
    </row>
    <row r="4" spans="1:13" x14ac:dyDescent="0.2">
      <c r="A4" s="438"/>
      <c r="B4" s="438"/>
      <c r="C4" s="237" t="s">
        <v>318</v>
      </c>
      <c r="D4" s="228" t="s">
        <v>314</v>
      </c>
      <c r="E4" s="228" t="s">
        <v>317</v>
      </c>
      <c r="F4" s="229" t="s">
        <v>316</v>
      </c>
      <c r="G4" s="34">
        <v>3</v>
      </c>
      <c r="H4" s="34">
        <f>+G4*2</f>
        <v>6</v>
      </c>
      <c r="I4" s="8">
        <f>+J4*2</f>
        <v>0</v>
      </c>
      <c r="J4" s="271">
        <f>+'Vigilante 12x36 Noturno Arm'!$D$153</f>
        <v>0</v>
      </c>
      <c r="K4" s="8">
        <f t="shared" ref="K4:K25" si="0">+J4*H4</f>
        <v>0</v>
      </c>
      <c r="L4" s="8">
        <f t="shared" ref="L4:L26" si="1">+K4*12</f>
        <v>0</v>
      </c>
      <c r="M4" s="279"/>
    </row>
    <row r="5" spans="1:13" ht="13.5" thickBot="1" x14ac:dyDescent="0.25">
      <c r="A5" s="438"/>
      <c r="B5" s="438"/>
      <c r="C5" s="239" t="s">
        <v>313</v>
      </c>
      <c r="D5" s="233" t="s">
        <v>374</v>
      </c>
      <c r="E5" s="233" t="s">
        <v>375</v>
      </c>
      <c r="F5" s="234" t="s">
        <v>340</v>
      </c>
      <c r="G5" s="235">
        <v>2</v>
      </c>
      <c r="H5" s="235">
        <f>+G5*1</f>
        <v>2</v>
      </c>
      <c r="I5" s="261">
        <f>+J5</f>
        <v>0</v>
      </c>
      <c r="J5" s="294">
        <f>+'Vigilante 44h Desarm'!$D$155</f>
        <v>0</v>
      </c>
      <c r="K5" s="261">
        <f t="shared" si="0"/>
        <v>0</v>
      </c>
      <c r="L5" s="261">
        <f t="shared" si="1"/>
        <v>0</v>
      </c>
      <c r="M5" s="284">
        <f>+L5+L4+L3</f>
        <v>0</v>
      </c>
    </row>
    <row r="6" spans="1:13" ht="12.75" customHeight="1" x14ac:dyDescent="0.2">
      <c r="A6" s="438" t="s">
        <v>394</v>
      </c>
      <c r="B6" s="438"/>
      <c r="C6" s="236" t="s">
        <v>313</v>
      </c>
      <c r="D6" s="225" t="s">
        <v>314</v>
      </c>
      <c r="E6" s="225" t="s">
        <v>315</v>
      </c>
      <c r="F6" s="226" t="s">
        <v>316</v>
      </c>
      <c r="G6" s="227">
        <v>2</v>
      </c>
      <c r="H6" s="227">
        <f>+G6*2</f>
        <v>4</v>
      </c>
      <c r="I6" s="217">
        <f>+J6*2</f>
        <v>0</v>
      </c>
      <c r="J6" s="293">
        <f>+'Vigilante 12X36 Diurno Des'!$D$153</f>
        <v>0</v>
      </c>
      <c r="K6" s="217">
        <f t="shared" si="0"/>
        <v>0</v>
      </c>
      <c r="L6" s="217">
        <f t="shared" si="1"/>
        <v>0</v>
      </c>
      <c r="M6" s="278"/>
    </row>
    <row r="7" spans="1:13" x14ac:dyDescent="0.2">
      <c r="A7" s="438"/>
      <c r="B7" s="438"/>
      <c r="C7" s="237" t="s">
        <v>313</v>
      </c>
      <c r="D7" s="228" t="s">
        <v>314</v>
      </c>
      <c r="E7" s="228" t="s">
        <v>317</v>
      </c>
      <c r="F7" s="229" t="s">
        <v>316</v>
      </c>
      <c r="G7" s="34">
        <v>2</v>
      </c>
      <c r="H7" s="34">
        <f>+G7*2</f>
        <v>4</v>
      </c>
      <c r="I7" s="8">
        <f>+J7*2</f>
        <v>0</v>
      </c>
      <c r="J7" s="271">
        <f>+'Vigilante 12X36 Noturno Des'!$D$155</f>
        <v>0</v>
      </c>
      <c r="K7" s="8">
        <f t="shared" si="0"/>
        <v>0</v>
      </c>
      <c r="L7" s="8">
        <f t="shared" si="1"/>
        <v>0</v>
      </c>
      <c r="M7" s="279"/>
    </row>
    <row r="8" spans="1:13" ht="13.5" thickBot="1" x14ac:dyDescent="0.25">
      <c r="A8" s="438"/>
      <c r="B8" s="438"/>
      <c r="C8" s="239" t="s">
        <v>313</v>
      </c>
      <c r="D8" s="233" t="s">
        <v>376</v>
      </c>
      <c r="E8" s="233" t="s">
        <v>451</v>
      </c>
      <c r="F8" s="234" t="s">
        <v>340</v>
      </c>
      <c r="G8" s="235">
        <v>2</v>
      </c>
      <c r="H8" s="235">
        <f>+G8*1</f>
        <v>2</v>
      </c>
      <c r="I8" s="261">
        <f>+J8</f>
        <v>0</v>
      </c>
      <c r="J8" s="294">
        <f>+'Vigilante 5x2 12h Desar'!$D$154</f>
        <v>0</v>
      </c>
      <c r="K8" s="261">
        <f t="shared" si="0"/>
        <v>0</v>
      </c>
      <c r="L8" s="261">
        <f t="shared" si="1"/>
        <v>0</v>
      </c>
      <c r="M8" s="284">
        <f>+L8+L7+L6</f>
        <v>0</v>
      </c>
    </row>
    <row r="9" spans="1:13" x14ac:dyDescent="0.2">
      <c r="A9" s="438" t="s">
        <v>438</v>
      </c>
      <c r="B9" s="438"/>
      <c r="C9" s="236" t="s">
        <v>313</v>
      </c>
      <c r="D9" s="225" t="s">
        <v>314</v>
      </c>
      <c r="E9" s="225" t="s">
        <v>315</v>
      </c>
      <c r="F9" s="226" t="s">
        <v>316</v>
      </c>
      <c r="G9" s="227">
        <v>1</v>
      </c>
      <c r="H9" s="227">
        <f>+G9*2</f>
        <v>2</v>
      </c>
      <c r="I9" s="217">
        <f>+J9*2</f>
        <v>0</v>
      </c>
      <c r="J9" s="293">
        <f>+'Vigilante 12X36 Diurno Des'!$D$153</f>
        <v>0</v>
      </c>
      <c r="K9" s="217">
        <f t="shared" ref="K9:K11" si="2">+J9*H9</f>
        <v>0</v>
      </c>
      <c r="L9" s="217">
        <f t="shared" ref="L9:L11" si="3">+K9*12</f>
        <v>0</v>
      </c>
      <c r="M9" s="278"/>
    </row>
    <row r="10" spans="1:13" x14ac:dyDescent="0.2">
      <c r="A10" s="438"/>
      <c r="B10" s="438"/>
      <c r="C10" s="237" t="s">
        <v>313</v>
      </c>
      <c r="D10" s="228" t="s">
        <v>314</v>
      </c>
      <c r="E10" s="228" t="s">
        <v>317</v>
      </c>
      <c r="F10" s="229" t="s">
        <v>316</v>
      </c>
      <c r="G10" s="34">
        <v>2</v>
      </c>
      <c r="H10" s="34">
        <f>+G10*2</f>
        <v>4</v>
      </c>
      <c r="I10" s="8">
        <f>+J10*2</f>
        <v>0</v>
      </c>
      <c r="J10" s="271">
        <f>+'Vigilante 12X36 Noturno Des'!$D$155</f>
        <v>0</v>
      </c>
      <c r="K10" s="8">
        <f t="shared" si="2"/>
        <v>0</v>
      </c>
      <c r="L10" s="8">
        <f t="shared" si="3"/>
        <v>0</v>
      </c>
      <c r="M10" s="279"/>
    </row>
    <row r="11" spans="1:13" ht="13.5" thickBot="1" x14ac:dyDescent="0.25">
      <c r="A11" s="438"/>
      <c r="B11" s="438"/>
      <c r="C11" s="239" t="s">
        <v>313</v>
      </c>
      <c r="D11" s="233" t="s">
        <v>376</v>
      </c>
      <c r="E11" s="233" t="s">
        <v>451</v>
      </c>
      <c r="F11" s="234" t="s">
        <v>340</v>
      </c>
      <c r="G11" s="235">
        <v>1</v>
      </c>
      <c r="H11" s="235">
        <f>+G11*1</f>
        <v>1</v>
      </c>
      <c r="I11" s="261">
        <f>+J11</f>
        <v>0</v>
      </c>
      <c r="J11" s="294">
        <f>+'Vigilante 5x2 12h Desar'!$D$154</f>
        <v>0</v>
      </c>
      <c r="K11" s="261">
        <f t="shared" si="2"/>
        <v>0</v>
      </c>
      <c r="L11" s="261">
        <f t="shared" si="3"/>
        <v>0</v>
      </c>
      <c r="M11" s="284">
        <f>+L11+L10+L9</f>
        <v>0</v>
      </c>
    </row>
    <row r="12" spans="1:13" ht="12.75" customHeight="1" x14ac:dyDescent="0.2">
      <c r="A12" s="438" t="s">
        <v>395</v>
      </c>
      <c r="B12" s="438"/>
      <c r="C12" s="236" t="s">
        <v>313</v>
      </c>
      <c r="D12" s="225" t="s">
        <v>314</v>
      </c>
      <c r="E12" s="225" t="s">
        <v>315</v>
      </c>
      <c r="F12" s="226" t="s">
        <v>316</v>
      </c>
      <c r="G12" s="227">
        <v>3</v>
      </c>
      <c r="H12" s="227">
        <f>+G12*2</f>
        <v>6</v>
      </c>
      <c r="I12" s="217">
        <f>+J12*2</f>
        <v>0</v>
      </c>
      <c r="J12" s="293">
        <f>+'Vigilante 12X36 Diurno Des'!$D$153</f>
        <v>0</v>
      </c>
      <c r="K12" s="217">
        <f t="shared" si="0"/>
        <v>0</v>
      </c>
      <c r="L12" s="217">
        <f t="shared" si="1"/>
        <v>0</v>
      </c>
      <c r="M12" s="278"/>
    </row>
    <row r="13" spans="1:13" x14ac:dyDescent="0.2">
      <c r="A13" s="438"/>
      <c r="B13" s="438"/>
      <c r="C13" s="237" t="s">
        <v>318</v>
      </c>
      <c r="D13" s="228" t="s">
        <v>314</v>
      </c>
      <c r="E13" s="228" t="s">
        <v>317</v>
      </c>
      <c r="F13" s="229" t="s">
        <v>316</v>
      </c>
      <c r="G13" s="34">
        <v>3</v>
      </c>
      <c r="H13" s="34">
        <f>+G13*2</f>
        <v>6</v>
      </c>
      <c r="I13" s="8">
        <f>+J13*2</f>
        <v>0</v>
      </c>
      <c r="J13" s="271">
        <f>+'Vigilante 12x36 Noturno Arm'!$D$153</f>
        <v>0</v>
      </c>
      <c r="K13" s="8">
        <f t="shared" si="0"/>
        <v>0</v>
      </c>
      <c r="L13" s="8">
        <f t="shared" si="1"/>
        <v>0</v>
      </c>
      <c r="M13" s="279"/>
    </row>
    <row r="14" spans="1:13" ht="13.5" thickBot="1" x14ac:dyDescent="0.25">
      <c r="A14" s="438"/>
      <c r="B14" s="438"/>
      <c r="C14" s="239" t="s">
        <v>313</v>
      </c>
      <c r="D14" s="233" t="s">
        <v>376</v>
      </c>
      <c r="E14" s="233" t="s">
        <v>451</v>
      </c>
      <c r="F14" s="234" t="s">
        <v>340</v>
      </c>
      <c r="G14" s="235">
        <v>2</v>
      </c>
      <c r="H14" s="235">
        <f>+G14*1</f>
        <v>2</v>
      </c>
      <c r="I14" s="261">
        <f>+J14</f>
        <v>0</v>
      </c>
      <c r="J14" s="294">
        <f>+'Vigilante 5x2 12h Desar'!$D$154</f>
        <v>0</v>
      </c>
      <c r="K14" s="261">
        <f t="shared" si="0"/>
        <v>0</v>
      </c>
      <c r="L14" s="261">
        <f t="shared" si="1"/>
        <v>0</v>
      </c>
      <c r="M14" s="284">
        <f>+L14+L13+L12</f>
        <v>0</v>
      </c>
    </row>
    <row r="15" spans="1:13" ht="12.75" customHeight="1" x14ac:dyDescent="0.2">
      <c r="A15" s="438" t="s">
        <v>396</v>
      </c>
      <c r="B15" s="438"/>
      <c r="C15" s="236" t="s">
        <v>313</v>
      </c>
      <c r="D15" s="225" t="s">
        <v>314</v>
      </c>
      <c r="E15" s="225" t="s">
        <v>315</v>
      </c>
      <c r="F15" s="226" t="s">
        <v>316</v>
      </c>
      <c r="G15" s="227">
        <v>3</v>
      </c>
      <c r="H15" s="227">
        <f>+G15*2</f>
        <v>6</v>
      </c>
      <c r="I15" s="217">
        <f>+J15*2</f>
        <v>0</v>
      </c>
      <c r="J15" s="293">
        <f>+'Vigilante 12X36 Diurno Des'!$D$153</f>
        <v>0</v>
      </c>
      <c r="K15" s="217">
        <f t="shared" si="0"/>
        <v>0</v>
      </c>
      <c r="L15" s="217">
        <f t="shared" si="1"/>
        <v>0</v>
      </c>
      <c r="M15" s="278"/>
    </row>
    <row r="16" spans="1:13" x14ac:dyDescent="0.2">
      <c r="A16" s="438"/>
      <c r="B16" s="438"/>
      <c r="C16" s="237" t="s">
        <v>318</v>
      </c>
      <c r="D16" s="228" t="s">
        <v>314</v>
      </c>
      <c r="E16" s="228" t="s">
        <v>317</v>
      </c>
      <c r="F16" s="229" t="s">
        <v>316</v>
      </c>
      <c r="G16" s="34">
        <v>3</v>
      </c>
      <c r="H16" s="34">
        <f>+G16*2</f>
        <v>6</v>
      </c>
      <c r="I16" s="8">
        <f>+J16*2</f>
        <v>0</v>
      </c>
      <c r="J16" s="271">
        <f>+'Vigilante 12x36 Noturno Arm'!$D$153</f>
        <v>0</v>
      </c>
      <c r="K16" s="8">
        <f t="shared" si="0"/>
        <v>0</v>
      </c>
      <c r="L16" s="8">
        <f t="shared" si="1"/>
        <v>0</v>
      </c>
      <c r="M16" s="279"/>
    </row>
    <row r="17" spans="1:13" ht="13.5" thickBot="1" x14ac:dyDescent="0.25">
      <c r="A17" s="438"/>
      <c r="B17" s="438"/>
      <c r="C17" s="239" t="s">
        <v>313</v>
      </c>
      <c r="D17" s="233" t="s">
        <v>374</v>
      </c>
      <c r="E17" s="233" t="s">
        <v>375</v>
      </c>
      <c r="F17" s="234" t="s">
        <v>340</v>
      </c>
      <c r="G17" s="235">
        <v>3</v>
      </c>
      <c r="H17" s="235">
        <f>+G17*1</f>
        <v>3</v>
      </c>
      <c r="I17" s="261">
        <f>+J17</f>
        <v>0</v>
      </c>
      <c r="J17" s="294">
        <f>+'Vigilante 44h Desarm'!$D$155</f>
        <v>0</v>
      </c>
      <c r="K17" s="261">
        <f t="shared" si="0"/>
        <v>0</v>
      </c>
      <c r="L17" s="261">
        <f t="shared" si="1"/>
        <v>0</v>
      </c>
      <c r="M17" s="284">
        <f>+L17+L16+L15</f>
        <v>0</v>
      </c>
    </row>
    <row r="18" spans="1:13" ht="12.75" customHeight="1" x14ac:dyDescent="0.2">
      <c r="A18" s="438" t="s">
        <v>397</v>
      </c>
      <c r="B18" s="438"/>
      <c r="C18" s="236" t="s">
        <v>318</v>
      </c>
      <c r="D18" s="225" t="s">
        <v>314</v>
      </c>
      <c r="E18" s="225" t="s">
        <v>315</v>
      </c>
      <c r="F18" s="226" t="s">
        <v>316</v>
      </c>
      <c r="G18" s="227">
        <v>3</v>
      </c>
      <c r="H18" s="227">
        <f>+G18*2</f>
        <v>6</v>
      </c>
      <c r="I18" s="217">
        <f>+J18*2</f>
        <v>0</v>
      </c>
      <c r="J18" s="293">
        <f>+'Vigilante 12X36 Diurno Arm'!$D$153</f>
        <v>0</v>
      </c>
      <c r="K18" s="217">
        <f t="shared" si="0"/>
        <v>0</v>
      </c>
      <c r="L18" s="217">
        <f t="shared" si="1"/>
        <v>0</v>
      </c>
      <c r="M18" s="278"/>
    </row>
    <row r="19" spans="1:13" x14ac:dyDescent="0.2">
      <c r="A19" s="438"/>
      <c r="B19" s="438"/>
      <c r="C19" s="237" t="s">
        <v>318</v>
      </c>
      <c r="D19" s="228" t="s">
        <v>314</v>
      </c>
      <c r="E19" s="228" t="s">
        <v>317</v>
      </c>
      <c r="F19" s="229" t="s">
        <v>316</v>
      </c>
      <c r="G19" s="34">
        <v>3</v>
      </c>
      <c r="H19" s="34">
        <f>+G19*2</f>
        <v>6</v>
      </c>
      <c r="I19" s="8">
        <f>+J19*2</f>
        <v>0</v>
      </c>
      <c r="J19" s="271">
        <f>+'Vigilante 12x36 Noturno Arm'!$D$153</f>
        <v>0</v>
      </c>
      <c r="K19" s="8">
        <f t="shared" si="0"/>
        <v>0</v>
      </c>
      <c r="L19" s="8">
        <f t="shared" si="1"/>
        <v>0</v>
      </c>
      <c r="M19" s="279"/>
    </row>
    <row r="20" spans="1:13" ht="13.5" thickBot="1" x14ac:dyDescent="0.25">
      <c r="A20" s="438"/>
      <c r="B20" s="438"/>
      <c r="C20" s="239" t="s">
        <v>318</v>
      </c>
      <c r="D20" s="233" t="s">
        <v>376</v>
      </c>
      <c r="E20" s="233" t="s">
        <v>451</v>
      </c>
      <c r="F20" s="234" t="s">
        <v>340</v>
      </c>
      <c r="G20" s="235">
        <v>3</v>
      </c>
      <c r="H20" s="235">
        <f>+G20*1</f>
        <v>3</v>
      </c>
      <c r="I20" s="261">
        <f>+J20</f>
        <v>0</v>
      </c>
      <c r="J20" s="294">
        <f>+'Vigilante 5x2 12h Arm'!$D$156</f>
        <v>0</v>
      </c>
      <c r="K20" s="261">
        <f t="shared" si="0"/>
        <v>0</v>
      </c>
      <c r="L20" s="261">
        <f t="shared" si="1"/>
        <v>0</v>
      </c>
      <c r="M20" s="284">
        <f>+L20+L19+L18</f>
        <v>0</v>
      </c>
    </row>
    <row r="21" spans="1:13" ht="12.75" customHeight="1" x14ac:dyDescent="0.2">
      <c r="A21" s="438" t="s">
        <v>398</v>
      </c>
      <c r="B21" s="438"/>
      <c r="C21" s="236" t="s">
        <v>313</v>
      </c>
      <c r="D21" s="225" t="s">
        <v>314</v>
      </c>
      <c r="E21" s="225" t="s">
        <v>315</v>
      </c>
      <c r="F21" s="226" t="s">
        <v>316</v>
      </c>
      <c r="G21" s="227">
        <v>2</v>
      </c>
      <c r="H21" s="227">
        <f>+G21*2</f>
        <v>4</v>
      </c>
      <c r="I21" s="217">
        <f>+J21*2</f>
        <v>0</v>
      </c>
      <c r="J21" s="293">
        <f>+'Vigilante 12X36 Diurno Des'!$D$153</f>
        <v>0</v>
      </c>
      <c r="K21" s="217">
        <f t="shared" si="0"/>
        <v>0</v>
      </c>
      <c r="L21" s="217">
        <f t="shared" si="1"/>
        <v>0</v>
      </c>
      <c r="M21" s="278"/>
    </row>
    <row r="22" spans="1:13" x14ac:dyDescent="0.2">
      <c r="A22" s="438"/>
      <c r="B22" s="438"/>
      <c r="C22" s="237" t="s">
        <v>318</v>
      </c>
      <c r="D22" s="228" t="s">
        <v>314</v>
      </c>
      <c r="E22" s="228" t="s">
        <v>317</v>
      </c>
      <c r="F22" s="229" t="s">
        <v>316</v>
      </c>
      <c r="G22" s="34">
        <v>2</v>
      </c>
      <c r="H22" s="34">
        <f>+G22*2</f>
        <v>4</v>
      </c>
      <c r="I22" s="8">
        <f>+J22*2</f>
        <v>0</v>
      </c>
      <c r="J22" s="271">
        <f>+'Vigilante 12x36 Noturno Arm'!$D$153</f>
        <v>0</v>
      </c>
      <c r="K22" s="8">
        <f t="shared" si="0"/>
        <v>0</v>
      </c>
      <c r="L22" s="8">
        <f t="shared" si="1"/>
        <v>0</v>
      </c>
      <c r="M22" s="279"/>
    </row>
    <row r="23" spans="1:13" ht="13.5" thickBot="1" x14ac:dyDescent="0.25">
      <c r="A23" s="438"/>
      <c r="B23" s="438"/>
      <c r="C23" s="239" t="s">
        <v>313</v>
      </c>
      <c r="D23" s="233" t="s">
        <v>374</v>
      </c>
      <c r="E23" s="233" t="s">
        <v>375</v>
      </c>
      <c r="F23" s="234" t="s">
        <v>340</v>
      </c>
      <c r="G23" s="235">
        <v>1</v>
      </c>
      <c r="H23" s="235">
        <f>+G23*1</f>
        <v>1</v>
      </c>
      <c r="I23" s="261">
        <f>+J23</f>
        <v>0</v>
      </c>
      <c r="J23" s="294">
        <f>+'Vigilante 44h Desarm'!$D$155</f>
        <v>0</v>
      </c>
      <c r="K23" s="261">
        <f t="shared" si="0"/>
        <v>0</v>
      </c>
      <c r="L23" s="261">
        <f t="shared" si="1"/>
        <v>0</v>
      </c>
      <c r="M23" s="284">
        <f>+L23+L22+L21</f>
        <v>0</v>
      </c>
    </row>
    <row r="24" spans="1:13" ht="12.75" customHeight="1" x14ac:dyDescent="0.2">
      <c r="A24" s="438" t="s">
        <v>399</v>
      </c>
      <c r="B24" s="438"/>
      <c r="C24" s="236" t="s">
        <v>313</v>
      </c>
      <c r="D24" s="225" t="s">
        <v>314</v>
      </c>
      <c r="E24" s="225" t="s">
        <v>315</v>
      </c>
      <c r="F24" s="226" t="s">
        <v>316</v>
      </c>
      <c r="G24" s="227">
        <v>2</v>
      </c>
      <c r="H24" s="227">
        <f>+G24*2</f>
        <v>4</v>
      </c>
      <c r="I24" s="217">
        <f>+J24*2</f>
        <v>0</v>
      </c>
      <c r="J24" s="293">
        <f>+'Vigilante 12X36 Diurno Des'!$D$153</f>
        <v>0</v>
      </c>
      <c r="K24" s="217">
        <f t="shared" si="0"/>
        <v>0</v>
      </c>
      <c r="L24" s="217">
        <f t="shared" si="1"/>
        <v>0</v>
      </c>
      <c r="M24" s="278"/>
    </row>
    <row r="25" spans="1:13" ht="13.5" thickBot="1" x14ac:dyDescent="0.25">
      <c r="A25" s="438"/>
      <c r="B25" s="438"/>
      <c r="C25" s="238" t="s">
        <v>313</v>
      </c>
      <c r="D25" s="230" t="s">
        <v>314</v>
      </c>
      <c r="E25" s="230" t="s">
        <v>317</v>
      </c>
      <c r="F25" s="231" t="s">
        <v>316</v>
      </c>
      <c r="G25" s="232">
        <v>2</v>
      </c>
      <c r="H25" s="232">
        <f>+G25*2</f>
        <v>4</v>
      </c>
      <c r="I25" s="218">
        <f>+J25*2</f>
        <v>0</v>
      </c>
      <c r="J25" s="282">
        <f>+'Vigilante 12X36 Noturno Des'!$D$155</f>
        <v>0</v>
      </c>
      <c r="K25" s="218">
        <f t="shared" si="0"/>
        <v>0</v>
      </c>
      <c r="L25" s="218">
        <f t="shared" si="1"/>
        <v>0</v>
      </c>
      <c r="M25" s="283">
        <f>+L25+L24</f>
        <v>0</v>
      </c>
    </row>
    <row r="26" spans="1:13" ht="13.5" thickBot="1" x14ac:dyDescent="0.25">
      <c r="G26" s="240">
        <f>SUM(G3:G25)</f>
        <v>53</v>
      </c>
      <c r="H26" s="241">
        <f>SUM(H3:H25)</f>
        <v>92</v>
      </c>
      <c r="K26" s="295">
        <f>SUM(K3:K25)</f>
        <v>0</v>
      </c>
      <c r="L26" s="281">
        <f t="shared" si="1"/>
        <v>0</v>
      </c>
    </row>
    <row r="28" spans="1:13" ht="36" x14ac:dyDescent="0.2">
      <c r="D28" s="210" t="s">
        <v>309</v>
      </c>
      <c r="E28" s="210" t="s">
        <v>310</v>
      </c>
      <c r="F28" s="210" t="s">
        <v>311</v>
      </c>
      <c r="G28" s="210" t="s">
        <v>319</v>
      </c>
      <c r="H28" s="210" t="s">
        <v>312</v>
      </c>
    </row>
    <row r="29" spans="1:13" x14ac:dyDescent="0.2">
      <c r="C29" s="329" t="s">
        <v>318</v>
      </c>
      <c r="D29" s="330" t="s">
        <v>314</v>
      </c>
      <c r="E29" s="330" t="s">
        <v>315</v>
      </c>
      <c r="F29" s="331" t="s">
        <v>316</v>
      </c>
      <c r="G29" s="332">
        <f>+G18</f>
        <v>3</v>
      </c>
      <c r="H29" s="332">
        <f>+H18</f>
        <v>6</v>
      </c>
    </row>
    <row r="30" spans="1:13" x14ac:dyDescent="0.2">
      <c r="C30" s="333" t="s">
        <v>318</v>
      </c>
      <c r="D30" s="334" t="s">
        <v>314</v>
      </c>
      <c r="E30" s="334" t="s">
        <v>317</v>
      </c>
      <c r="F30" s="335" t="s">
        <v>316</v>
      </c>
      <c r="G30" s="336">
        <f>+G4+G13+G16+G19+G22</f>
        <v>14</v>
      </c>
      <c r="H30" s="336">
        <f>+H4+H13+H16+H19+H22</f>
        <v>28</v>
      </c>
    </row>
    <row r="31" spans="1:13" x14ac:dyDescent="0.2">
      <c r="C31" s="337" t="s">
        <v>318</v>
      </c>
      <c r="D31" s="338" t="s">
        <v>376</v>
      </c>
      <c r="E31" s="338" t="s">
        <v>451</v>
      </c>
      <c r="F31" s="339" t="s">
        <v>340</v>
      </c>
      <c r="G31" s="340">
        <f>+G20</f>
        <v>3</v>
      </c>
      <c r="H31" s="340">
        <f>+H20</f>
        <v>3</v>
      </c>
    </row>
    <row r="32" spans="1:13" ht="5.25" customHeight="1" x14ac:dyDescent="0.2"/>
    <row r="33" spans="1:14" x14ac:dyDescent="0.2">
      <c r="C33" s="329" t="s">
        <v>313</v>
      </c>
      <c r="D33" s="330" t="s">
        <v>314</v>
      </c>
      <c r="E33" s="330" t="s">
        <v>315</v>
      </c>
      <c r="F33" s="331" t="s">
        <v>316</v>
      </c>
      <c r="G33" s="341">
        <f>+G3+G6+G12+G15+G21+G24+G9</f>
        <v>16</v>
      </c>
      <c r="H33" s="341">
        <f>+H3+H6+H12+H15+H21+H24+H9</f>
        <v>32</v>
      </c>
    </row>
    <row r="34" spans="1:14" x14ac:dyDescent="0.2">
      <c r="C34" s="333" t="s">
        <v>313</v>
      </c>
      <c r="D34" s="334" t="s">
        <v>314</v>
      </c>
      <c r="E34" s="334" t="s">
        <v>317</v>
      </c>
      <c r="F34" s="335" t="s">
        <v>316</v>
      </c>
      <c r="G34" s="342">
        <f>+G7+G10+G25</f>
        <v>6</v>
      </c>
      <c r="H34" s="342">
        <f>+H7+H10+H25</f>
        <v>12</v>
      </c>
    </row>
    <row r="35" spans="1:14" x14ac:dyDescent="0.2">
      <c r="C35" s="337" t="s">
        <v>313</v>
      </c>
      <c r="D35" s="338" t="s">
        <v>376</v>
      </c>
      <c r="E35" s="338" t="s">
        <v>451</v>
      </c>
      <c r="F35" s="339" t="s">
        <v>340</v>
      </c>
      <c r="G35" s="343">
        <f>+G8+G14+G11</f>
        <v>5</v>
      </c>
      <c r="H35" s="343">
        <f>+H8+H14+H11</f>
        <v>5</v>
      </c>
    </row>
    <row r="36" spans="1:14" x14ac:dyDescent="0.2">
      <c r="C36" s="364" t="s">
        <v>313</v>
      </c>
      <c r="D36" s="365" t="s">
        <v>374</v>
      </c>
      <c r="E36" s="365" t="s">
        <v>375</v>
      </c>
      <c r="F36" s="366" t="s">
        <v>340</v>
      </c>
      <c r="G36" s="367">
        <f>+G5+G17+G23</f>
        <v>6</v>
      </c>
      <c r="H36" s="367">
        <f>+H5+H17+H23</f>
        <v>6</v>
      </c>
    </row>
    <row r="37" spans="1:14" ht="3.75" customHeight="1" thickBot="1" x14ac:dyDescent="0.25"/>
    <row r="38" spans="1:14" ht="13.5" thickBot="1" x14ac:dyDescent="0.25">
      <c r="G38" s="221">
        <f>SUM(G29:G37)</f>
        <v>53</v>
      </c>
      <c r="H38" s="222">
        <f>SUM(H29:H37)</f>
        <v>92</v>
      </c>
    </row>
    <row r="40" spans="1:14" x14ac:dyDescent="0.2">
      <c r="A40" s="450" t="s">
        <v>13</v>
      </c>
      <c r="B40" s="450"/>
      <c r="C40" s="450"/>
      <c r="D40" s="450"/>
      <c r="E40" s="450"/>
      <c r="F40" s="450"/>
      <c r="G40" s="450"/>
      <c r="H40" s="450" t="s">
        <v>14</v>
      </c>
      <c r="I40" s="451" t="s">
        <v>15</v>
      </c>
      <c r="J40" s="451"/>
      <c r="K40" s="449" t="s">
        <v>382</v>
      </c>
      <c r="L40" s="449" t="s">
        <v>324</v>
      </c>
      <c r="M40" s="449" t="s">
        <v>326</v>
      </c>
      <c r="N40" s="449" t="s">
        <v>325</v>
      </c>
    </row>
    <row r="41" spans="1:14" x14ac:dyDescent="0.2">
      <c r="A41" s="450"/>
      <c r="B41" s="450"/>
      <c r="C41" s="450"/>
      <c r="D41" s="450"/>
      <c r="E41" s="450"/>
      <c r="F41" s="450"/>
      <c r="G41" s="450"/>
      <c r="H41" s="450"/>
      <c r="I41" s="291" t="s">
        <v>320</v>
      </c>
      <c r="J41" s="292" t="s">
        <v>321</v>
      </c>
      <c r="K41" s="449"/>
      <c r="L41" s="449"/>
      <c r="M41" s="449"/>
      <c r="N41" s="449"/>
    </row>
    <row r="42" spans="1:14" ht="25.5" customHeight="1" x14ac:dyDescent="0.2">
      <c r="A42" s="390" t="s">
        <v>421</v>
      </c>
      <c r="B42" s="242" t="s">
        <v>414</v>
      </c>
      <c r="C42" s="385" t="s">
        <v>301</v>
      </c>
      <c r="D42" s="385"/>
      <c r="E42" s="385"/>
      <c r="F42" s="385"/>
      <c r="G42" s="385"/>
      <c r="H42" s="287" t="s">
        <v>307</v>
      </c>
      <c r="I42" s="211">
        <f t="shared" ref="I42:J44" si="4">+G29</f>
        <v>3</v>
      </c>
      <c r="J42" s="211">
        <f t="shared" si="4"/>
        <v>6</v>
      </c>
      <c r="K42" s="212">
        <f>+L42*2</f>
        <v>0</v>
      </c>
      <c r="L42" s="271">
        <f>+'Vigilante 12X36 Diurno Arm'!$D$153</f>
        <v>0</v>
      </c>
      <c r="M42" s="213">
        <f t="shared" ref="M42:M48" si="5">+L42*J42</f>
        <v>0</v>
      </c>
      <c r="N42" s="213">
        <f t="shared" ref="N42:N48" si="6">+M42*12</f>
        <v>0</v>
      </c>
    </row>
    <row r="43" spans="1:14" ht="25.5" customHeight="1" x14ac:dyDescent="0.2">
      <c r="A43" s="390"/>
      <c r="B43" s="242" t="s">
        <v>415</v>
      </c>
      <c r="C43" s="385" t="s">
        <v>300</v>
      </c>
      <c r="D43" s="385"/>
      <c r="E43" s="385"/>
      <c r="F43" s="385"/>
      <c r="G43" s="385"/>
      <c r="H43" s="287" t="s">
        <v>307</v>
      </c>
      <c r="I43" s="211">
        <f t="shared" si="4"/>
        <v>14</v>
      </c>
      <c r="J43" s="211">
        <f t="shared" si="4"/>
        <v>28</v>
      </c>
      <c r="K43" s="212">
        <f>+L43*2</f>
        <v>0</v>
      </c>
      <c r="L43" s="271">
        <f>+'Vigilante 12x36 Noturno Arm'!$D$153</f>
        <v>0</v>
      </c>
      <c r="M43" s="213">
        <f t="shared" si="5"/>
        <v>0</v>
      </c>
      <c r="N43" s="213">
        <f t="shared" si="6"/>
        <v>0</v>
      </c>
    </row>
    <row r="44" spans="1:14" ht="25.5" customHeight="1" x14ac:dyDescent="0.2">
      <c r="A44" s="390"/>
      <c r="B44" s="242" t="s">
        <v>416</v>
      </c>
      <c r="C44" s="385" t="s">
        <v>450</v>
      </c>
      <c r="D44" s="385"/>
      <c r="E44" s="385"/>
      <c r="F44" s="385"/>
      <c r="G44" s="385"/>
      <c r="H44" s="287" t="s">
        <v>339</v>
      </c>
      <c r="I44" s="211">
        <f t="shared" si="4"/>
        <v>3</v>
      </c>
      <c r="J44" s="211">
        <f t="shared" si="4"/>
        <v>3</v>
      </c>
      <c r="K44" s="212">
        <f>+L44</f>
        <v>0</v>
      </c>
      <c r="L44" s="271">
        <f>+'Vigilante 5x2 12h Arm'!$D$156</f>
        <v>0</v>
      </c>
      <c r="M44" s="213">
        <f t="shared" si="5"/>
        <v>0</v>
      </c>
      <c r="N44" s="213">
        <f t="shared" si="6"/>
        <v>0</v>
      </c>
    </row>
    <row r="45" spans="1:14" ht="25.5" customHeight="1" x14ac:dyDescent="0.2">
      <c r="A45" s="390"/>
      <c r="B45" s="242" t="s">
        <v>417</v>
      </c>
      <c r="C45" s="385" t="s">
        <v>299</v>
      </c>
      <c r="D45" s="385"/>
      <c r="E45" s="385"/>
      <c r="F45" s="385"/>
      <c r="G45" s="385"/>
      <c r="H45" s="287" t="s">
        <v>307</v>
      </c>
      <c r="I45" s="211">
        <f t="shared" ref="I45:J48" si="7">+G33</f>
        <v>16</v>
      </c>
      <c r="J45" s="211">
        <f t="shared" si="7"/>
        <v>32</v>
      </c>
      <c r="K45" s="212">
        <f>+L45*2</f>
        <v>0</v>
      </c>
      <c r="L45" s="271">
        <f>+'Vigilante 12X36 Diurno Des'!$D$153</f>
        <v>0</v>
      </c>
      <c r="M45" s="213">
        <f t="shared" si="5"/>
        <v>0</v>
      </c>
      <c r="N45" s="213">
        <f t="shared" si="6"/>
        <v>0</v>
      </c>
    </row>
    <row r="46" spans="1:14" ht="25.5" customHeight="1" x14ac:dyDescent="0.2">
      <c r="A46" s="390"/>
      <c r="B46" s="242" t="s">
        <v>418</v>
      </c>
      <c r="C46" s="385" t="s">
        <v>298</v>
      </c>
      <c r="D46" s="385"/>
      <c r="E46" s="385"/>
      <c r="F46" s="385"/>
      <c r="G46" s="385"/>
      <c r="H46" s="287" t="s">
        <v>307</v>
      </c>
      <c r="I46" s="211">
        <f t="shared" si="7"/>
        <v>6</v>
      </c>
      <c r="J46" s="211">
        <f t="shared" si="7"/>
        <v>12</v>
      </c>
      <c r="K46" s="212">
        <f>+L46*2</f>
        <v>0</v>
      </c>
      <c r="L46" s="271">
        <f>+'Vigilante 12X36 Noturno Des'!$D$155</f>
        <v>0</v>
      </c>
      <c r="M46" s="213">
        <f t="shared" si="5"/>
        <v>0</v>
      </c>
      <c r="N46" s="213">
        <f t="shared" si="6"/>
        <v>0</v>
      </c>
    </row>
    <row r="47" spans="1:14" ht="25.5" customHeight="1" x14ac:dyDescent="0.2">
      <c r="A47" s="390"/>
      <c r="B47" s="242" t="s">
        <v>419</v>
      </c>
      <c r="C47" s="385" t="s">
        <v>449</v>
      </c>
      <c r="D47" s="385"/>
      <c r="E47" s="385"/>
      <c r="F47" s="385"/>
      <c r="G47" s="385"/>
      <c r="H47" s="287" t="s">
        <v>339</v>
      </c>
      <c r="I47" s="211">
        <f t="shared" si="7"/>
        <v>5</v>
      </c>
      <c r="J47" s="211">
        <f t="shared" si="7"/>
        <v>5</v>
      </c>
      <c r="K47" s="212">
        <f>+L47</f>
        <v>0</v>
      </c>
      <c r="L47" s="271">
        <f>+'Vigilante 5x2 12h Desar'!$D$154</f>
        <v>0</v>
      </c>
      <c r="M47" s="213">
        <f t="shared" si="5"/>
        <v>0</v>
      </c>
      <c r="N47" s="213">
        <f t="shared" si="6"/>
        <v>0</v>
      </c>
    </row>
    <row r="48" spans="1:14" ht="25.5" customHeight="1" x14ac:dyDescent="0.2">
      <c r="A48" s="390"/>
      <c r="B48" s="242" t="s">
        <v>420</v>
      </c>
      <c r="C48" s="385" t="s">
        <v>379</v>
      </c>
      <c r="D48" s="385"/>
      <c r="E48" s="385"/>
      <c r="F48" s="385"/>
      <c r="G48" s="385"/>
      <c r="H48" s="287" t="s">
        <v>339</v>
      </c>
      <c r="I48" s="211">
        <f t="shared" si="7"/>
        <v>6</v>
      </c>
      <c r="J48" s="211">
        <f t="shared" si="7"/>
        <v>6</v>
      </c>
      <c r="K48" s="212">
        <f>+L48</f>
        <v>0</v>
      </c>
      <c r="L48" s="271">
        <f>+'Vigilante 44h Desarm'!$D$155</f>
        <v>0</v>
      </c>
      <c r="M48" s="213">
        <f t="shared" si="5"/>
        <v>0</v>
      </c>
      <c r="N48" s="213">
        <f t="shared" si="6"/>
        <v>0</v>
      </c>
    </row>
    <row r="49" spans="9:14" x14ac:dyDescent="0.2">
      <c r="I49" s="223">
        <f>SUM(I42:I48)</f>
        <v>53</v>
      </c>
      <c r="J49" s="223">
        <f>SUM(J42:J48)</f>
        <v>92</v>
      </c>
      <c r="M49" s="214">
        <f>SUM(M42:M48)</f>
        <v>0</v>
      </c>
      <c r="N49" s="214">
        <f>SUM(N42:N48)</f>
        <v>0</v>
      </c>
    </row>
  </sheetData>
  <mergeCells count="25">
    <mergeCell ref="A24:B25"/>
    <mergeCell ref="A1:M1"/>
    <mergeCell ref="C42:G42"/>
    <mergeCell ref="C47:G47"/>
    <mergeCell ref="C48:G48"/>
    <mergeCell ref="M40:M41"/>
    <mergeCell ref="A2:B2"/>
    <mergeCell ref="A3:B5"/>
    <mergeCell ref="A6:B8"/>
    <mergeCell ref="A12:B14"/>
    <mergeCell ref="A15:B17"/>
    <mergeCell ref="A18:B20"/>
    <mergeCell ref="A21:B23"/>
    <mergeCell ref="A9:B11"/>
    <mergeCell ref="N40:N41"/>
    <mergeCell ref="A42:A48"/>
    <mergeCell ref="C43:G43"/>
    <mergeCell ref="C44:G44"/>
    <mergeCell ref="C45:G45"/>
    <mergeCell ref="C46:G46"/>
    <mergeCell ref="A40:G41"/>
    <mergeCell ref="H40:H41"/>
    <mergeCell ref="I40:J40"/>
    <mergeCell ref="K40:K41"/>
    <mergeCell ref="L40:L41"/>
  </mergeCells>
  <pageMargins left="0.06" right="0.06" top="0.87" bottom="0.51" header="0.31496062992125984" footer="0.31496062992125984"/>
  <pageSetup paperSize="9" scale="68" orientation="landscape" r:id="rId1"/>
  <headerFooter>
    <oddFooter>&amp;A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3"/>
  <sheetViews>
    <sheetView workbookViewId="0">
      <selection activeCell="B10" sqref="B10"/>
    </sheetView>
  </sheetViews>
  <sheetFormatPr defaultRowHeight="12.75" x14ac:dyDescent="0.2"/>
  <cols>
    <col min="2" max="2" width="31.125" customWidth="1"/>
    <col min="3" max="3" width="8.75" bestFit="1" customWidth="1"/>
    <col min="4" max="4" width="7.875" customWidth="1"/>
    <col min="5" max="5" width="12.75" customWidth="1"/>
    <col min="6" max="6" width="19.25" customWidth="1"/>
    <col min="7" max="7" width="8" bestFit="1" customWidth="1"/>
    <col min="8" max="8" width="12.375" customWidth="1"/>
    <col min="9" max="9" width="13.375" customWidth="1"/>
    <col min="10" max="10" width="11.75" customWidth="1"/>
    <col min="11" max="11" width="15.875" customWidth="1"/>
    <col min="12" max="12" width="17.875" customWidth="1"/>
    <col min="13" max="13" width="16.125" customWidth="1"/>
    <col min="14" max="14" width="18.5" customWidth="1"/>
  </cols>
  <sheetData>
    <row r="1" spans="1:13" ht="12.75" customHeight="1" x14ac:dyDescent="0.25">
      <c r="A1" s="425" t="s">
        <v>402</v>
      </c>
      <c r="B1" s="425"/>
      <c r="C1" s="425"/>
      <c r="D1" s="425"/>
      <c r="E1" s="425"/>
      <c r="F1" s="425"/>
      <c r="G1" s="425"/>
      <c r="H1" s="425"/>
      <c r="I1" s="425"/>
      <c r="J1" s="425"/>
      <c r="K1" s="425"/>
      <c r="L1" s="425"/>
      <c r="M1" s="425"/>
    </row>
    <row r="2" spans="1:13" ht="45.75" thickBot="1" x14ac:dyDescent="0.25">
      <c r="A2" s="423" t="s">
        <v>308</v>
      </c>
      <c r="B2" s="424"/>
      <c r="C2" s="215"/>
      <c r="D2" s="224" t="s">
        <v>309</v>
      </c>
      <c r="E2" s="224" t="s">
        <v>310</v>
      </c>
      <c r="F2" s="224" t="s">
        <v>311</v>
      </c>
      <c r="G2" s="224" t="s">
        <v>319</v>
      </c>
      <c r="H2" s="220" t="s">
        <v>312</v>
      </c>
      <c r="I2" s="216" t="s">
        <v>382</v>
      </c>
      <c r="J2" s="216" t="s">
        <v>324</v>
      </c>
      <c r="K2" s="216" t="s">
        <v>383</v>
      </c>
      <c r="L2" s="216" t="s">
        <v>384</v>
      </c>
      <c r="M2" s="216" t="s">
        <v>323</v>
      </c>
    </row>
    <row r="3" spans="1:13" x14ac:dyDescent="0.2">
      <c r="A3" s="438" t="s">
        <v>400</v>
      </c>
      <c r="B3" s="438"/>
      <c r="C3" s="236" t="s">
        <v>318</v>
      </c>
      <c r="D3" s="225" t="s">
        <v>314</v>
      </c>
      <c r="E3" s="225" t="s">
        <v>315</v>
      </c>
      <c r="F3" s="226" t="s">
        <v>316</v>
      </c>
      <c r="G3" s="227">
        <v>2</v>
      </c>
      <c r="H3" s="227">
        <f>+G3*2</f>
        <v>4</v>
      </c>
      <c r="I3" s="217">
        <f>+J3*2</f>
        <v>0</v>
      </c>
      <c r="J3" s="293">
        <f>+'Vigilante Xerem 12x36 Diu Arm '!$D$153</f>
        <v>0</v>
      </c>
      <c r="K3" s="217">
        <f>+J3*H3</f>
        <v>0</v>
      </c>
      <c r="L3" s="217">
        <f>+K3*12</f>
        <v>0</v>
      </c>
      <c r="M3" s="278"/>
    </row>
    <row r="4" spans="1:13" x14ac:dyDescent="0.2">
      <c r="A4" s="438"/>
      <c r="B4" s="438"/>
      <c r="C4" s="237" t="s">
        <v>318</v>
      </c>
      <c r="D4" s="228" t="s">
        <v>314</v>
      </c>
      <c r="E4" s="228" t="s">
        <v>317</v>
      </c>
      <c r="F4" s="229" t="s">
        <v>316</v>
      </c>
      <c r="G4" s="34">
        <v>2</v>
      </c>
      <c r="H4" s="34">
        <f>+G4*2</f>
        <v>4</v>
      </c>
      <c r="I4" s="8">
        <f>+J4*2</f>
        <v>0</v>
      </c>
      <c r="J4" s="289">
        <f>+'Vigilante Xerem 12x36 not Arm'!$D$153</f>
        <v>0</v>
      </c>
      <c r="K4" s="8">
        <f t="shared" ref="K4:K7" si="0">+J4*H4</f>
        <v>0</v>
      </c>
      <c r="L4" s="8">
        <f t="shared" ref="L4:L8" si="1">+K4*12</f>
        <v>0</v>
      </c>
      <c r="M4" s="279"/>
    </row>
    <row r="5" spans="1:13" ht="12.75" customHeight="1" x14ac:dyDescent="0.2">
      <c r="A5" s="438" t="s">
        <v>401</v>
      </c>
      <c r="B5" s="438"/>
      <c r="C5" s="306" t="s">
        <v>318</v>
      </c>
      <c r="D5" s="307" t="s">
        <v>314</v>
      </c>
      <c r="E5" s="307" t="s">
        <v>315</v>
      </c>
      <c r="F5" s="308" t="s">
        <v>316</v>
      </c>
      <c r="G5" s="309">
        <v>4</v>
      </c>
      <c r="H5" s="309">
        <f>+G5*2</f>
        <v>8</v>
      </c>
      <c r="I5" s="310">
        <f>+J5*2</f>
        <v>0</v>
      </c>
      <c r="J5" s="311">
        <f>+'Vigilante Xerem 12x36 Diu Arm '!$D$153</f>
        <v>0</v>
      </c>
      <c r="K5" s="310">
        <f t="shared" si="0"/>
        <v>0</v>
      </c>
      <c r="L5" s="310">
        <f t="shared" si="1"/>
        <v>0</v>
      </c>
      <c r="M5" s="312"/>
    </row>
    <row r="6" spans="1:13" x14ac:dyDescent="0.2">
      <c r="A6" s="438"/>
      <c r="B6" s="438"/>
      <c r="C6" s="237" t="s">
        <v>318</v>
      </c>
      <c r="D6" s="228" t="s">
        <v>314</v>
      </c>
      <c r="E6" s="228" t="s">
        <v>317</v>
      </c>
      <c r="F6" s="229" t="s">
        <v>316</v>
      </c>
      <c r="G6" s="34">
        <v>4</v>
      </c>
      <c r="H6" s="34">
        <f>+G6*2</f>
        <v>8</v>
      </c>
      <c r="I6" s="8">
        <f>+J6*2</f>
        <v>0</v>
      </c>
      <c r="J6" s="289">
        <f>+'Vigilante Xerem 12x36 not Arm'!$D$153</f>
        <v>0</v>
      </c>
      <c r="K6" s="8">
        <f t="shared" si="0"/>
        <v>0</v>
      </c>
      <c r="L6" s="8">
        <f t="shared" si="1"/>
        <v>0</v>
      </c>
      <c r="M6" s="279"/>
    </row>
    <row r="7" spans="1:13" ht="13.5" thickBot="1" x14ac:dyDescent="0.25">
      <c r="A7" s="438"/>
      <c r="B7" s="438"/>
      <c r="C7" s="238" t="s">
        <v>313</v>
      </c>
      <c r="D7" s="230" t="s">
        <v>374</v>
      </c>
      <c r="E7" s="230" t="s">
        <v>375</v>
      </c>
      <c r="F7" s="231" t="s">
        <v>340</v>
      </c>
      <c r="G7" s="232">
        <v>3</v>
      </c>
      <c r="H7" s="232">
        <f>+G7*1</f>
        <v>3</v>
      </c>
      <c r="I7" s="218">
        <f>+J7</f>
        <v>0</v>
      </c>
      <c r="J7" s="282">
        <f>+'Vigilante Xerem 44h des'!$D$155</f>
        <v>0</v>
      </c>
      <c r="K7" s="218">
        <f t="shared" si="0"/>
        <v>0</v>
      </c>
      <c r="L7" s="218">
        <f t="shared" si="1"/>
        <v>0</v>
      </c>
      <c r="M7" s="283">
        <f>+L7+L6+L5</f>
        <v>0</v>
      </c>
    </row>
    <row r="8" spans="1:13" ht="13.5" thickBot="1" x14ac:dyDescent="0.25">
      <c r="G8" s="313">
        <f>SUM(G3:G7)</f>
        <v>15</v>
      </c>
      <c r="H8" s="314">
        <f>SUM(H3:H7)</f>
        <v>27</v>
      </c>
      <c r="K8" s="316">
        <f>SUM(K3:K7)</f>
        <v>0</v>
      </c>
      <c r="L8" s="315">
        <f t="shared" si="1"/>
        <v>0</v>
      </c>
    </row>
    <row r="10" spans="1:13" ht="36" x14ac:dyDescent="0.2">
      <c r="D10" s="210" t="s">
        <v>309</v>
      </c>
      <c r="E10" s="210" t="s">
        <v>310</v>
      </c>
      <c r="F10" s="210" t="s">
        <v>311</v>
      </c>
      <c r="G10" s="210" t="s">
        <v>319</v>
      </c>
      <c r="H10" s="210" t="s">
        <v>312</v>
      </c>
    </row>
    <row r="11" spans="1:13" x14ac:dyDescent="0.2">
      <c r="C11" s="368" t="s">
        <v>318</v>
      </c>
      <c r="D11" s="369" t="s">
        <v>314</v>
      </c>
      <c r="E11" s="369" t="s">
        <v>315</v>
      </c>
      <c r="F11" s="370" t="s">
        <v>316</v>
      </c>
      <c r="G11" s="371">
        <f>+G3+G5</f>
        <v>6</v>
      </c>
      <c r="H11" s="371">
        <f>+H3+H5</f>
        <v>12</v>
      </c>
    </row>
    <row r="12" spans="1:13" x14ac:dyDescent="0.2">
      <c r="C12" s="373" t="s">
        <v>318</v>
      </c>
      <c r="D12" s="374" t="s">
        <v>314</v>
      </c>
      <c r="E12" s="374" t="s">
        <v>317</v>
      </c>
      <c r="F12" s="375" t="s">
        <v>316</v>
      </c>
      <c r="G12" s="376">
        <f>+G4+G6</f>
        <v>6</v>
      </c>
      <c r="H12" s="376">
        <f>+H4+H6</f>
        <v>12</v>
      </c>
    </row>
    <row r="13" spans="1:13" ht="5.25" customHeight="1" x14ac:dyDescent="0.2"/>
    <row r="14" spans="1:13" x14ac:dyDescent="0.2">
      <c r="C14" s="368" t="s">
        <v>313</v>
      </c>
      <c r="D14" s="369" t="s">
        <v>374</v>
      </c>
      <c r="E14" s="369" t="s">
        <v>375</v>
      </c>
      <c r="F14" s="370" t="s">
        <v>340</v>
      </c>
      <c r="G14" s="372">
        <f>+G7</f>
        <v>3</v>
      </c>
      <c r="H14" s="372">
        <f>+H7</f>
        <v>3</v>
      </c>
    </row>
    <row r="15" spans="1:13" ht="3.75" customHeight="1" thickBot="1" x14ac:dyDescent="0.25"/>
    <row r="16" spans="1:13" ht="13.5" thickBot="1" x14ac:dyDescent="0.25">
      <c r="G16" s="221">
        <f>SUM(G11:G15)</f>
        <v>15</v>
      </c>
      <c r="H16" s="222">
        <f>SUM(H11:H15)</f>
        <v>27</v>
      </c>
    </row>
    <row r="18" spans="1:14" x14ac:dyDescent="0.2">
      <c r="A18" s="450" t="s">
        <v>13</v>
      </c>
      <c r="B18" s="450"/>
      <c r="C18" s="450"/>
      <c r="D18" s="450"/>
      <c r="E18" s="450"/>
      <c r="F18" s="450"/>
      <c r="G18" s="450"/>
      <c r="H18" s="450" t="s">
        <v>14</v>
      </c>
      <c r="I18" s="451" t="s">
        <v>15</v>
      </c>
      <c r="J18" s="451"/>
      <c r="K18" s="449" t="s">
        <v>382</v>
      </c>
      <c r="L18" s="449" t="s">
        <v>324</v>
      </c>
      <c r="M18" s="449" t="s">
        <v>326</v>
      </c>
      <c r="N18" s="449" t="s">
        <v>325</v>
      </c>
    </row>
    <row r="19" spans="1:14" x14ac:dyDescent="0.2">
      <c r="A19" s="450"/>
      <c r="B19" s="450"/>
      <c r="C19" s="450"/>
      <c r="D19" s="450"/>
      <c r="E19" s="450"/>
      <c r="F19" s="450"/>
      <c r="G19" s="450"/>
      <c r="H19" s="450"/>
      <c r="I19" s="291" t="s">
        <v>320</v>
      </c>
      <c r="J19" s="292" t="s">
        <v>321</v>
      </c>
      <c r="K19" s="449"/>
      <c r="L19" s="449"/>
      <c r="M19" s="449"/>
      <c r="N19" s="449"/>
    </row>
    <row r="20" spans="1:14" ht="25.5" x14ac:dyDescent="0.2">
      <c r="A20" s="390" t="s">
        <v>422</v>
      </c>
      <c r="B20" s="242" t="s">
        <v>423</v>
      </c>
      <c r="C20" s="385" t="s">
        <v>301</v>
      </c>
      <c r="D20" s="385"/>
      <c r="E20" s="385"/>
      <c r="F20" s="385"/>
      <c r="G20" s="385"/>
      <c r="H20" s="287" t="s">
        <v>307</v>
      </c>
      <c r="I20" s="211">
        <f>+G11</f>
        <v>6</v>
      </c>
      <c r="J20" s="211">
        <f>+H11</f>
        <v>12</v>
      </c>
      <c r="K20" s="212">
        <f>+L20*2</f>
        <v>0</v>
      </c>
      <c r="L20" s="271">
        <f>+'Vigilante Xerem 12x36 Diu Arm '!$D$153</f>
        <v>0</v>
      </c>
      <c r="M20" s="213">
        <f>+L20*J20</f>
        <v>0</v>
      </c>
      <c r="N20" s="213">
        <f>+M20*12</f>
        <v>0</v>
      </c>
    </row>
    <row r="21" spans="1:14" ht="25.5" x14ac:dyDescent="0.2">
      <c r="A21" s="390"/>
      <c r="B21" s="242" t="s">
        <v>424</v>
      </c>
      <c r="C21" s="385" t="s">
        <v>300</v>
      </c>
      <c r="D21" s="385"/>
      <c r="E21" s="385"/>
      <c r="F21" s="385"/>
      <c r="G21" s="385"/>
      <c r="H21" s="287" t="s">
        <v>307</v>
      </c>
      <c r="I21" s="211">
        <f>+G12</f>
        <v>6</v>
      </c>
      <c r="J21" s="211">
        <f>+H12</f>
        <v>12</v>
      </c>
      <c r="K21" s="212">
        <f>+L21*2</f>
        <v>0</v>
      </c>
      <c r="L21" s="289">
        <f>+'Vigilante Xerem 12x36 not Arm'!$D$153</f>
        <v>0</v>
      </c>
      <c r="M21" s="213">
        <f>+L21*J21</f>
        <v>0</v>
      </c>
      <c r="N21" s="213">
        <f>+M21*12</f>
        <v>0</v>
      </c>
    </row>
    <row r="22" spans="1:14" ht="25.5" x14ac:dyDescent="0.2">
      <c r="A22" s="390"/>
      <c r="B22" s="242" t="s">
        <v>425</v>
      </c>
      <c r="C22" s="385" t="s">
        <v>379</v>
      </c>
      <c r="D22" s="385"/>
      <c r="E22" s="385"/>
      <c r="F22" s="385"/>
      <c r="G22" s="385"/>
      <c r="H22" s="287" t="s">
        <v>339</v>
      </c>
      <c r="I22" s="211">
        <f>+G14</f>
        <v>3</v>
      </c>
      <c r="J22" s="211">
        <f>+H14</f>
        <v>3</v>
      </c>
      <c r="K22" s="212">
        <f>+L22</f>
        <v>0</v>
      </c>
      <c r="L22" s="271">
        <f>+'Vigilante Xerem 44h des'!$D$155</f>
        <v>0</v>
      </c>
      <c r="M22" s="213">
        <f>+L22*J22</f>
        <v>0</v>
      </c>
      <c r="N22" s="213">
        <f>+M22*12</f>
        <v>0</v>
      </c>
    </row>
    <row r="23" spans="1:14" x14ac:dyDescent="0.2">
      <c r="I23" s="223">
        <f>SUM(I20:I22)</f>
        <v>15</v>
      </c>
      <c r="J23" s="223">
        <f>SUM(J20:J22)</f>
        <v>27</v>
      </c>
      <c r="M23" s="214">
        <f>SUM(M20:M22)</f>
        <v>0</v>
      </c>
      <c r="N23" s="214">
        <f>SUM(N20:N22)</f>
        <v>0</v>
      </c>
    </row>
  </sheetData>
  <mergeCells count="15">
    <mergeCell ref="A1:M1"/>
    <mergeCell ref="N18:N19"/>
    <mergeCell ref="H18:H19"/>
    <mergeCell ref="A20:A22"/>
    <mergeCell ref="C22:G22"/>
    <mergeCell ref="C20:G20"/>
    <mergeCell ref="C21:G21"/>
    <mergeCell ref="A18:G19"/>
    <mergeCell ref="I18:J18"/>
    <mergeCell ref="K18:K19"/>
    <mergeCell ref="L18:L19"/>
    <mergeCell ref="M18:M19"/>
    <mergeCell ref="A2:B2"/>
    <mergeCell ref="A3:B4"/>
    <mergeCell ref="A5:B7"/>
  </mergeCells>
  <pageMargins left="0.18" right="0.14000000000000001" top="1.17" bottom="0.78740157480314965" header="0.31496062992125984" footer="0.31496062992125984"/>
  <pageSetup paperSize="9" scale="62" orientation="landscape" r:id="rId1"/>
  <headerFooter>
    <oddFooter>&amp;A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theme="7" tint="-0.249977111117893"/>
  </sheetPr>
  <dimension ref="A1:F183"/>
  <sheetViews>
    <sheetView topLeftCell="A73" workbookViewId="0">
      <selection activeCell="B120" sqref="B120:C120"/>
    </sheetView>
  </sheetViews>
  <sheetFormatPr defaultRowHeight="12.75" x14ac:dyDescent="0.2"/>
  <cols>
    <col min="1" max="1" width="5.625" customWidth="1"/>
    <col min="2" max="2" width="50.5" customWidth="1"/>
    <col min="3" max="3" width="9.375" bestFit="1" customWidth="1"/>
    <col min="4" max="4" width="15.625" customWidth="1"/>
    <col min="5" max="5" width="11.75" bestFit="1" customWidth="1"/>
  </cols>
  <sheetData>
    <row r="1" spans="1:6" x14ac:dyDescent="0.2">
      <c r="A1" s="477" t="s">
        <v>211</v>
      </c>
      <c r="B1" s="478"/>
      <c r="C1" s="478"/>
      <c r="D1" s="479"/>
      <c r="E1" s="3"/>
      <c r="F1" s="3"/>
    </row>
    <row r="3" spans="1:6" x14ac:dyDescent="0.2">
      <c r="A3" s="463" t="s">
        <v>16</v>
      </c>
      <c r="B3" s="464"/>
      <c r="C3" s="464"/>
      <c r="D3" s="465"/>
    </row>
    <row r="4" spans="1:6" s="1" customFormat="1" ht="28.5" customHeight="1" x14ac:dyDescent="0.2">
      <c r="A4" s="162">
        <v>1</v>
      </c>
      <c r="B4" s="163" t="s">
        <v>17</v>
      </c>
      <c r="C4" s="480" t="s">
        <v>356</v>
      </c>
      <c r="D4" s="481"/>
    </row>
    <row r="5" spans="1:6" s="1" customFormat="1" x14ac:dyDescent="0.2">
      <c r="A5" s="162">
        <v>2</v>
      </c>
      <c r="B5" s="163" t="s">
        <v>18</v>
      </c>
      <c r="C5" s="482" t="s">
        <v>295</v>
      </c>
      <c r="D5" s="483"/>
    </row>
    <row r="6" spans="1:6" s="1" customFormat="1" x14ac:dyDescent="0.2">
      <c r="A6" s="162">
        <v>3</v>
      </c>
      <c r="B6" s="163" t="s">
        <v>19</v>
      </c>
      <c r="C6" s="484"/>
      <c r="D6" s="484"/>
    </row>
    <row r="7" spans="1:6" s="1" customFormat="1" ht="42.75" customHeight="1" x14ac:dyDescent="0.2">
      <c r="A7" s="162">
        <v>4</v>
      </c>
      <c r="B7" s="163" t="s">
        <v>21</v>
      </c>
      <c r="C7" s="485" t="s">
        <v>296</v>
      </c>
      <c r="D7" s="486"/>
    </row>
    <row r="8" spans="1:6" s="1" customFormat="1" x14ac:dyDescent="0.2">
      <c r="A8" s="162">
        <v>5</v>
      </c>
      <c r="B8" s="163" t="s">
        <v>20</v>
      </c>
      <c r="C8" s="487">
        <v>43160</v>
      </c>
      <c r="D8" s="483"/>
    </row>
    <row r="9" spans="1:6" x14ac:dyDescent="0.2">
      <c r="D9" s="201"/>
    </row>
    <row r="10" spans="1:6" x14ac:dyDescent="0.2">
      <c r="A10" s="455" t="s">
        <v>22</v>
      </c>
      <c r="B10" s="455"/>
      <c r="C10" s="455"/>
      <c r="D10" s="455"/>
    </row>
    <row r="11" spans="1:6" x14ac:dyDescent="0.2">
      <c r="A11" s="4">
        <v>1</v>
      </c>
      <c r="B11" s="94" t="s">
        <v>23</v>
      </c>
      <c r="C11" s="70" t="s">
        <v>50</v>
      </c>
      <c r="D11" s="5" t="s">
        <v>24</v>
      </c>
    </row>
    <row r="12" spans="1:6" x14ac:dyDescent="0.2">
      <c r="A12" s="23" t="s">
        <v>3</v>
      </c>
      <c r="B12" s="388" t="s">
        <v>30</v>
      </c>
      <c r="C12" s="388"/>
      <c r="D12" s="7">
        <f>+C6</f>
        <v>0</v>
      </c>
    </row>
    <row r="13" spans="1:6" x14ac:dyDescent="0.2">
      <c r="A13" s="23" t="s">
        <v>4</v>
      </c>
      <c r="B13" s="89" t="s">
        <v>31</v>
      </c>
      <c r="C13" s="95">
        <v>0.3</v>
      </c>
      <c r="D13" s="7">
        <f>+C13*D12</f>
        <v>0</v>
      </c>
      <c r="E13" s="88"/>
    </row>
    <row r="14" spans="1:6" x14ac:dyDescent="0.2">
      <c r="A14" s="23" t="s">
        <v>5</v>
      </c>
      <c r="B14" s="89" t="s">
        <v>32</v>
      </c>
      <c r="C14" s="95"/>
      <c r="D14" s="7"/>
    </row>
    <row r="15" spans="1:6" x14ac:dyDescent="0.2">
      <c r="A15" s="23" t="s">
        <v>6</v>
      </c>
      <c r="B15" s="388" t="s">
        <v>33</v>
      </c>
      <c r="C15" s="388"/>
      <c r="D15" s="7"/>
    </row>
    <row r="16" spans="1:6" x14ac:dyDescent="0.2">
      <c r="A16" s="23" t="s">
        <v>25</v>
      </c>
      <c r="B16" s="388" t="s">
        <v>34</v>
      </c>
      <c r="C16" s="388"/>
      <c r="D16" s="7"/>
    </row>
    <row r="17" spans="1:6" x14ac:dyDescent="0.2">
      <c r="A17" s="69" t="s">
        <v>26</v>
      </c>
      <c r="B17" s="468" t="s">
        <v>231</v>
      </c>
      <c r="C17" s="469"/>
      <c r="D17" s="7"/>
    </row>
    <row r="18" spans="1:6" x14ac:dyDescent="0.2">
      <c r="A18" s="69" t="s">
        <v>27</v>
      </c>
      <c r="B18" s="388" t="s">
        <v>35</v>
      </c>
      <c r="C18" s="388"/>
      <c r="D18" s="7"/>
    </row>
    <row r="19" spans="1:6" x14ac:dyDescent="0.2">
      <c r="A19" s="69" t="s">
        <v>28</v>
      </c>
      <c r="B19" s="468" t="s">
        <v>195</v>
      </c>
      <c r="C19" s="469"/>
      <c r="D19" s="93"/>
    </row>
    <row r="20" spans="1:6" x14ac:dyDescent="0.2">
      <c r="A20" s="69" t="s">
        <v>64</v>
      </c>
      <c r="B20" s="89" t="s">
        <v>65</v>
      </c>
      <c r="C20" s="95"/>
      <c r="D20" s="7"/>
    </row>
    <row r="21" spans="1:6" x14ac:dyDescent="0.2">
      <c r="A21" s="69" t="s">
        <v>194</v>
      </c>
      <c r="B21" s="388" t="s">
        <v>95</v>
      </c>
      <c r="C21" s="388"/>
      <c r="D21" s="8"/>
      <c r="F21" s="98"/>
    </row>
    <row r="22" spans="1:6" x14ac:dyDescent="0.2">
      <c r="A22" s="69" t="s">
        <v>196</v>
      </c>
      <c r="B22" s="388" t="s">
        <v>36</v>
      </c>
      <c r="C22" s="388"/>
      <c r="D22" s="8"/>
    </row>
    <row r="23" spans="1:6" x14ac:dyDescent="0.2">
      <c r="A23" s="474" t="s">
        <v>29</v>
      </c>
      <c r="B23" s="474"/>
      <c r="C23" s="474"/>
      <c r="D23" s="9">
        <f>SUM(D12:D22)</f>
        <v>0</v>
      </c>
    </row>
    <row r="25" spans="1:6" x14ac:dyDescent="0.2">
      <c r="A25" s="455" t="s">
        <v>37</v>
      </c>
      <c r="B25" s="455"/>
      <c r="C25" s="455"/>
      <c r="D25" s="455"/>
    </row>
    <row r="27" spans="1:6" x14ac:dyDescent="0.2">
      <c r="A27" s="455" t="s">
        <v>38</v>
      </c>
      <c r="B27" s="455"/>
      <c r="C27" s="455"/>
      <c r="D27" s="455"/>
    </row>
    <row r="28" spans="1:6" x14ac:dyDescent="0.2">
      <c r="A28" s="19" t="s">
        <v>39</v>
      </c>
      <c r="B28" s="14" t="s">
        <v>40</v>
      </c>
      <c r="C28" s="22" t="s">
        <v>50</v>
      </c>
      <c r="D28" s="20" t="s">
        <v>24</v>
      </c>
    </row>
    <row r="29" spans="1:6" x14ac:dyDescent="0.2">
      <c r="A29" s="23" t="s">
        <v>3</v>
      </c>
      <c r="B29" s="6" t="s">
        <v>46</v>
      </c>
      <c r="C29" s="29" t="e">
        <f>ROUND(+D29/$D$23,4)</f>
        <v>#DIV/0!</v>
      </c>
      <c r="D29" s="8">
        <f>ROUND(+D23/12,2)</f>
        <v>0</v>
      </c>
    </row>
    <row r="30" spans="1:6" x14ac:dyDescent="0.2">
      <c r="A30" s="28" t="s">
        <v>4</v>
      </c>
      <c r="B30" s="37" t="s">
        <v>43</v>
      </c>
      <c r="C30" s="38" t="e">
        <f>ROUND(+D30/$D$23,4)</f>
        <v>#DIV/0!</v>
      </c>
      <c r="D30" s="39">
        <f>+D31+D32</f>
        <v>0</v>
      </c>
    </row>
    <row r="31" spans="1:6" x14ac:dyDescent="0.2">
      <c r="A31" s="23" t="s">
        <v>41</v>
      </c>
      <c r="B31" s="35" t="s">
        <v>45</v>
      </c>
      <c r="C31" s="40" t="e">
        <f>ROUND(+D31/$D$23,4)</f>
        <v>#DIV/0!</v>
      </c>
      <c r="D31" s="36">
        <f>ROUND(+D23/12,2)</f>
        <v>0</v>
      </c>
    </row>
    <row r="32" spans="1:6" x14ac:dyDescent="0.2">
      <c r="A32" s="23" t="s">
        <v>42</v>
      </c>
      <c r="B32" s="35" t="s">
        <v>44</v>
      </c>
      <c r="C32" s="40" t="e">
        <f>ROUND(+D32/$D$23,4)</f>
        <v>#DIV/0!</v>
      </c>
      <c r="D32" s="36">
        <f>ROUND(+(D23*1/3)/12,2)</f>
        <v>0</v>
      </c>
    </row>
    <row r="33" spans="1:4" x14ac:dyDescent="0.2">
      <c r="A33" s="474" t="s">
        <v>29</v>
      </c>
      <c r="B33" s="474"/>
      <c r="C33" s="474"/>
      <c r="D33" s="9">
        <f>+D30+D29</f>
        <v>0</v>
      </c>
    </row>
    <row r="35" spans="1:4" ht="29.25" customHeight="1" x14ac:dyDescent="0.2">
      <c r="A35" s="467" t="s">
        <v>47</v>
      </c>
      <c r="B35" s="467"/>
      <c r="C35" s="467"/>
      <c r="D35" s="467"/>
    </row>
    <row r="36" spans="1:4" x14ac:dyDescent="0.2">
      <c r="A36" s="19" t="s">
        <v>48</v>
      </c>
      <c r="B36" s="21" t="s">
        <v>49</v>
      </c>
      <c r="C36" s="22" t="s">
        <v>50</v>
      </c>
      <c r="D36" s="20" t="s">
        <v>24</v>
      </c>
    </row>
    <row r="37" spans="1:4" x14ac:dyDescent="0.2">
      <c r="A37" s="23" t="s">
        <v>3</v>
      </c>
      <c r="B37" s="6" t="s">
        <v>51</v>
      </c>
      <c r="C37" s="17">
        <v>0.2</v>
      </c>
      <c r="D37" s="18">
        <f>ROUND(C37*($D$23+$D$33),2)</f>
        <v>0</v>
      </c>
    </row>
    <row r="38" spans="1:4" x14ac:dyDescent="0.2">
      <c r="A38" s="23" t="s">
        <v>4</v>
      </c>
      <c r="B38" s="6" t="s">
        <v>52</v>
      </c>
      <c r="C38" s="17">
        <v>2.5000000000000001E-2</v>
      </c>
      <c r="D38" s="18">
        <f t="shared" ref="D38:D43" si="0">ROUND(C38*($D$23+$D$33),2)</f>
        <v>0</v>
      </c>
    </row>
    <row r="39" spans="1:4" x14ac:dyDescent="0.2">
      <c r="A39" s="23" t="s">
        <v>5</v>
      </c>
      <c r="B39" s="6" t="s">
        <v>58</v>
      </c>
      <c r="C39" s="17">
        <f>3%</f>
        <v>0.03</v>
      </c>
      <c r="D39" s="18">
        <f t="shared" si="0"/>
        <v>0</v>
      </c>
    </row>
    <row r="40" spans="1:4" x14ac:dyDescent="0.2">
      <c r="A40" s="23" t="s">
        <v>6</v>
      </c>
      <c r="B40" s="6" t="s">
        <v>53</v>
      </c>
      <c r="C40" s="17">
        <v>1.4999999999999999E-2</v>
      </c>
      <c r="D40" s="18">
        <f t="shared" si="0"/>
        <v>0</v>
      </c>
    </row>
    <row r="41" spans="1:4" x14ac:dyDescent="0.2">
      <c r="A41" s="23" t="s">
        <v>25</v>
      </c>
      <c r="B41" s="6" t="s">
        <v>54</v>
      </c>
      <c r="C41" s="17">
        <v>0.01</v>
      </c>
      <c r="D41" s="18">
        <f t="shared" si="0"/>
        <v>0</v>
      </c>
    </row>
    <row r="42" spans="1:4" x14ac:dyDescent="0.2">
      <c r="A42" s="23" t="s">
        <v>26</v>
      </c>
      <c r="B42" s="6" t="s">
        <v>55</v>
      </c>
      <c r="C42" s="17">
        <v>6.0000000000000001E-3</v>
      </c>
      <c r="D42" s="18">
        <f t="shared" si="0"/>
        <v>0</v>
      </c>
    </row>
    <row r="43" spans="1:4" x14ac:dyDescent="0.2">
      <c r="A43" s="23" t="s">
        <v>27</v>
      </c>
      <c r="B43" s="6" t="s">
        <v>56</v>
      </c>
      <c r="C43" s="17">
        <v>2E-3</v>
      </c>
      <c r="D43" s="18">
        <f t="shared" si="0"/>
        <v>0</v>
      </c>
    </row>
    <row r="44" spans="1:4" x14ac:dyDescent="0.2">
      <c r="A44" s="23" t="s">
        <v>28</v>
      </c>
      <c r="B44" s="6" t="s">
        <v>57</v>
      </c>
      <c r="C44" s="17">
        <v>0.08</v>
      </c>
      <c r="D44" s="18">
        <f>ROUND(C44*($D$23+$D$33),2)</f>
        <v>0</v>
      </c>
    </row>
    <row r="45" spans="1:4" x14ac:dyDescent="0.2">
      <c r="A45" s="10" t="s">
        <v>29</v>
      </c>
      <c r="B45" s="11"/>
      <c r="C45" s="41">
        <f>SUM(C37:C44)</f>
        <v>0.36800000000000005</v>
      </c>
      <c r="D45" s="42">
        <f>SUM(D37:D44)</f>
        <v>0</v>
      </c>
    </row>
    <row r="46" spans="1:4" x14ac:dyDescent="0.2">
      <c r="A46" s="43"/>
      <c r="B46" s="43"/>
      <c r="C46" s="43"/>
      <c r="D46" s="43"/>
    </row>
    <row r="47" spans="1:4" ht="12.75" customHeight="1" x14ac:dyDescent="0.2">
      <c r="A47" s="467" t="s">
        <v>59</v>
      </c>
      <c r="B47" s="467"/>
      <c r="C47" s="467"/>
      <c r="D47" s="467"/>
    </row>
    <row r="48" spans="1:4" x14ac:dyDescent="0.2">
      <c r="A48" s="19" t="s">
        <v>60</v>
      </c>
      <c r="B48" s="21" t="s">
        <v>61</v>
      </c>
      <c r="C48" s="22"/>
      <c r="D48" s="20" t="s">
        <v>24</v>
      </c>
    </row>
    <row r="49" spans="1:6" x14ac:dyDescent="0.2">
      <c r="A49" s="107" t="s">
        <v>3</v>
      </c>
      <c r="B49" s="6" t="s">
        <v>62</v>
      </c>
      <c r="C49" s="54"/>
      <c r="D49" s="18">
        <f>+'Calculo 12 36 Diu Arm'!C107</f>
        <v>0</v>
      </c>
    </row>
    <row r="50" spans="1:6" s="60" customFormat="1" x14ac:dyDescent="0.2">
      <c r="A50" s="75" t="s">
        <v>177</v>
      </c>
      <c r="B50" s="34" t="s">
        <v>178</v>
      </c>
      <c r="C50" s="29">
        <f>+$C$135+$C$136</f>
        <v>3.6499999999999998E-2</v>
      </c>
      <c r="D50" s="77">
        <f>+(C50*D49)*-1</f>
        <v>0</v>
      </c>
      <c r="F50" s="76"/>
    </row>
    <row r="51" spans="1:6" x14ac:dyDescent="0.2">
      <c r="A51" s="107" t="s">
        <v>4</v>
      </c>
      <c r="B51" s="6" t="s">
        <v>63</v>
      </c>
      <c r="C51" s="54"/>
      <c r="D51" s="18">
        <f>+'Calculo 12 36 Diu Arm'!C116</f>
        <v>0</v>
      </c>
      <c r="F51" s="61"/>
    </row>
    <row r="52" spans="1:6" s="60" customFormat="1" x14ac:dyDescent="0.2">
      <c r="A52" s="75" t="s">
        <v>41</v>
      </c>
      <c r="B52" s="34" t="s">
        <v>178</v>
      </c>
      <c r="C52" s="29">
        <f>+$C$135+$C$136</f>
        <v>3.6499999999999998E-2</v>
      </c>
      <c r="D52" s="77">
        <f>+(C52*D51)*-1</f>
        <v>0</v>
      </c>
      <c r="F52" s="78"/>
    </row>
    <row r="53" spans="1:6" x14ac:dyDescent="0.2">
      <c r="A53" s="6" t="s">
        <v>5</v>
      </c>
      <c r="B53" s="6" t="s">
        <v>66</v>
      </c>
      <c r="C53" s="54"/>
      <c r="D53" s="18"/>
      <c r="F53" s="61"/>
    </row>
    <row r="54" spans="1:6" x14ac:dyDescent="0.2">
      <c r="A54" s="75" t="s">
        <v>161</v>
      </c>
      <c r="B54" s="34" t="s">
        <v>178</v>
      </c>
      <c r="C54" s="29">
        <f>+$C$135+$C$136</f>
        <v>3.6499999999999998E-2</v>
      </c>
      <c r="D54" s="77">
        <f>+(C54*D53)*-1</f>
        <v>0</v>
      </c>
      <c r="F54" s="61"/>
    </row>
    <row r="55" spans="1:6" x14ac:dyDescent="0.2">
      <c r="A55" s="116" t="s">
        <v>6</v>
      </c>
      <c r="B55" s="116" t="s">
        <v>403</v>
      </c>
      <c r="C55" s="54"/>
      <c r="D55" s="377"/>
      <c r="F55" s="61"/>
    </row>
    <row r="56" spans="1:6" x14ac:dyDescent="0.2">
      <c r="A56" s="75" t="s">
        <v>179</v>
      </c>
      <c r="B56" s="34" t="s">
        <v>178</v>
      </c>
      <c r="C56" s="29">
        <f>+$C$135+$C$136</f>
        <v>3.6499999999999998E-2</v>
      </c>
      <c r="D56" s="77">
        <f>+(C56*D55)*-1</f>
        <v>0</v>
      </c>
      <c r="F56" s="61"/>
    </row>
    <row r="57" spans="1:6" x14ac:dyDescent="0.2">
      <c r="A57" s="116" t="s">
        <v>25</v>
      </c>
      <c r="B57" s="116" t="s">
        <v>436</v>
      </c>
      <c r="C57" s="54"/>
      <c r="D57" s="378"/>
      <c r="F57" s="131"/>
    </row>
    <row r="58" spans="1:6" x14ac:dyDescent="0.2">
      <c r="A58" s="75" t="s">
        <v>180</v>
      </c>
      <c r="B58" s="34" t="s">
        <v>178</v>
      </c>
      <c r="C58" s="29">
        <f>+$C$135+$C$136</f>
        <v>3.6499999999999998E-2</v>
      </c>
      <c r="D58" s="77">
        <f>+(C58*D57)*-1</f>
        <v>0</v>
      </c>
    </row>
    <row r="59" spans="1:6" x14ac:dyDescent="0.2">
      <c r="A59" s="116" t="s">
        <v>26</v>
      </c>
      <c r="B59" s="454" t="s">
        <v>293</v>
      </c>
      <c r="C59" s="454"/>
      <c r="D59" s="377"/>
    </row>
    <row r="60" spans="1:6" x14ac:dyDescent="0.2">
      <c r="A60" s="75" t="s">
        <v>81</v>
      </c>
      <c r="B60" s="34" t="s">
        <v>178</v>
      </c>
      <c r="C60" s="29">
        <f>+$C$135+$C$136</f>
        <v>3.6499999999999998E-2</v>
      </c>
      <c r="D60" s="77">
        <f>+(C60*D59)*-1</f>
        <v>0</v>
      </c>
    </row>
    <row r="61" spans="1:6" x14ac:dyDescent="0.2">
      <c r="A61" s="463" t="s">
        <v>29</v>
      </c>
      <c r="B61" s="465"/>
      <c r="C61" s="16"/>
      <c r="D61" s="110">
        <f>SUM(D49:D60)</f>
        <v>0</v>
      </c>
    </row>
    <row r="63" spans="1:6" x14ac:dyDescent="0.2">
      <c r="A63" s="455" t="s">
        <v>67</v>
      </c>
      <c r="B63" s="455"/>
      <c r="C63" s="455"/>
      <c r="D63" s="455"/>
    </row>
    <row r="64" spans="1:6" x14ac:dyDescent="0.2">
      <c r="A64" s="24">
        <v>2</v>
      </c>
      <c r="B64" s="455" t="s">
        <v>68</v>
      </c>
      <c r="C64" s="455"/>
      <c r="D64" s="27" t="s">
        <v>24</v>
      </c>
    </row>
    <row r="65" spans="1:4" x14ac:dyDescent="0.2">
      <c r="A65" s="25" t="s">
        <v>39</v>
      </c>
      <c r="B65" s="466" t="s">
        <v>40</v>
      </c>
      <c r="C65" s="466"/>
      <c r="D65" s="18">
        <f>+D33</f>
        <v>0</v>
      </c>
    </row>
    <row r="66" spans="1:4" x14ac:dyDescent="0.2">
      <c r="A66" s="25" t="s">
        <v>48</v>
      </c>
      <c r="B66" s="466" t="s">
        <v>49</v>
      </c>
      <c r="C66" s="466"/>
      <c r="D66" s="18">
        <f>+D45</f>
        <v>0</v>
      </c>
    </row>
    <row r="67" spans="1:4" x14ac:dyDescent="0.2">
      <c r="A67" s="25" t="s">
        <v>60</v>
      </c>
      <c r="B67" s="466" t="s">
        <v>61</v>
      </c>
      <c r="C67" s="466"/>
      <c r="D67" s="68">
        <f>+D61</f>
        <v>0</v>
      </c>
    </row>
    <row r="68" spans="1:4" x14ac:dyDescent="0.2">
      <c r="A68" s="455" t="s">
        <v>29</v>
      </c>
      <c r="B68" s="455"/>
      <c r="C68" s="455"/>
      <c r="D68" s="26">
        <f>SUM(D65:D67)</f>
        <v>0</v>
      </c>
    </row>
    <row r="70" spans="1:4" x14ac:dyDescent="0.2">
      <c r="A70" s="455" t="s">
        <v>69</v>
      </c>
      <c r="B70" s="455"/>
      <c r="C70" s="455"/>
      <c r="D70" s="455"/>
    </row>
    <row r="72" spans="1:4" x14ac:dyDescent="0.2">
      <c r="A72" s="13">
        <v>3</v>
      </c>
      <c r="B72" s="14" t="s">
        <v>70</v>
      </c>
      <c r="C72" s="12" t="s">
        <v>50</v>
      </c>
      <c r="D72" s="12" t="s">
        <v>24</v>
      </c>
    </row>
    <row r="73" spans="1:4" x14ac:dyDescent="0.2">
      <c r="A73" s="23" t="s">
        <v>3</v>
      </c>
      <c r="B73" s="34" t="s">
        <v>72</v>
      </c>
      <c r="C73" s="29" t="e">
        <f>+D73/$D$23</f>
        <v>#DIV/0!</v>
      </c>
      <c r="D73" s="118">
        <f>+'Calculo 12 36 Diu Arm'!C122</f>
        <v>0</v>
      </c>
    </row>
    <row r="74" spans="1:4" x14ac:dyDescent="0.2">
      <c r="A74" s="23" t="s">
        <v>4</v>
      </c>
      <c r="B74" s="6" t="s">
        <v>73</v>
      </c>
      <c r="C74" s="52"/>
      <c r="D74" s="8"/>
    </row>
    <row r="75" spans="1:4" ht="25.5" x14ac:dyDescent="0.2">
      <c r="A75" s="23" t="s">
        <v>5</v>
      </c>
      <c r="B75" s="30" t="s">
        <v>75</v>
      </c>
      <c r="C75" s="17" t="e">
        <f>+D75/$D$23</f>
        <v>#DIV/0!</v>
      </c>
      <c r="D75" s="8">
        <f>+'Calculo 12 36 Diu Arm'!C136</f>
        <v>0</v>
      </c>
    </row>
    <row r="76" spans="1:4" x14ac:dyDescent="0.2">
      <c r="A76" s="31" t="s">
        <v>6</v>
      </c>
      <c r="B76" s="6" t="s">
        <v>71</v>
      </c>
      <c r="C76" s="17" t="e">
        <f>+D76/$D$23</f>
        <v>#DIV/0!</v>
      </c>
      <c r="D76" s="8">
        <f>+'Calculo 12 36 Diu Arm'!C144</f>
        <v>0</v>
      </c>
    </row>
    <row r="77" spans="1:4" ht="25.5" x14ac:dyDescent="0.2">
      <c r="A77" s="31" t="s">
        <v>25</v>
      </c>
      <c r="B77" s="30" t="s">
        <v>74</v>
      </c>
      <c r="C77" s="52"/>
      <c r="D77" s="384"/>
    </row>
    <row r="78" spans="1:4" ht="25.5" x14ac:dyDescent="0.2">
      <c r="A78" s="108" t="s">
        <v>26</v>
      </c>
      <c r="B78" s="30" t="s">
        <v>76</v>
      </c>
      <c r="C78" s="17" t="e">
        <f>+D78/$D$23</f>
        <v>#DIV/0!</v>
      </c>
      <c r="D78" s="18">
        <f>+'Calculo 12 36 Diu Arm'!C158</f>
        <v>0</v>
      </c>
    </row>
    <row r="79" spans="1:4" x14ac:dyDescent="0.2">
      <c r="A79" s="463" t="s">
        <v>29</v>
      </c>
      <c r="B79" s="464"/>
      <c r="C79" s="465"/>
      <c r="D79" s="32">
        <f>SUM(D73:D78)</f>
        <v>0</v>
      </c>
    </row>
    <row r="81" spans="1:4" x14ac:dyDescent="0.2">
      <c r="A81" s="455" t="s">
        <v>84</v>
      </c>
      <c r="B81" s="455"/>
      <c r="C81" s="455"/>
      <c r="D81" s="455"/>
    </row>
    <row r="83" spans="1:4" x14ac:dyDescent="0.2">
      <c r="A83" s="467" t="s">
        <v>87</v>
      </c>
      <c r="B83" s="467"/>
      <c r="C83" s="467"/>
      <c r="D83" s="467"/>
    </row>
    <row r="84" spans="1:4" x14ac:dyDescent="0.2">
      <c r="A84" s="13" t="s">
        <v>85</v>
      </c>
      <c r="B84" s="463" t="s">
        <v>86</v>
      </c>
      <c r="C84" s="465"/>
      <c r="D84" s="12" t="s">
        <v>24</v>
      </c>
    </row>
    <row r="85" spans="1:4" x14ac:dyDescent="0.2">
      <c r="A85" s="6" t="s">
        <v>3</v>
      </c>
      <c r="B85" s="470" t="s">
        <v>88</v>
      </c>
      <c r="C85" s="471"/>
      <c r="D85" s="8"/>
    </row>
    <row r="86" spans="1:4" x14ac:dyDescent="0.2">
      <c r="A86" s="34" t="s">
        <v>4</v>
      </c>
      <c r="B86" s="488" t="s">
        <v>86</v>
      </c>
      <c r="C86" s="489"/>
      <c r="D86" s="120">
        <f>+'Calculo 12 36 Diu Arm'!C171</f>
        <v>0</v>
      </c>
    </row>
    <row r="87" spans="1:4" s="60" customFormat="1" x14ac:dyDescent="0.2">
      <c r="A87" s="34" t="s">
        <v>5</v>
      </c>
      <c r="B87" s="488" t="s">
        <v>89</v>
      </c>
      <c r="C87" s="489"/>
      <c r="D87" s="120">
        <f>+'Calculo 12 36 Diu Arm'!C180</f>
        <v>0</v>
      </c>
    </row>
    <row r="88" spans="1:4" s="60" customFormat="1" x14ac:dyDescent="0.2">
      <c r="A88" s="34" t="s">
        <v>6</v>
      </c>
      <c r="B88" s="488" t="s">
        <v>90</v>
      </c>
      <c r="C88" s="489"/>
      <c r="D88" s="120">
        <f>+'Calculo 12 36 Diu Arm'!C188</f>
        <v>0</v>
      </c>
    </row>
    <row r="89" spans="1:4" s="60" customFormat="1" ht="13.5" x14ac:dyDescent="0.2">
      <c r="A89" s="34" t="s">
        <v>25</v>
      </c>
      <c r="B89" s="488" t="s">
        <v>287</v>
      </c>
      <c r="C89" s="489"/>
      <c r="D89" s="120"/>
    </row>
    <row r="90" spans="1:4" s="60" customFormat="1" x14ac:dyDescent="0.2">
      <c r="A90" s="34" t="s">
        <v>26</v>
      </c>
      <c r="B90" s="488" t="s">
        <v>93</v>
      </c>
      <c r="C90" s="489"/>
      <c r="D90" s="120">
        <f>+'Calculo 12 36 Diu Arm'!C196</f>
        <v>0</v>
      </c>
    </row>
    <row r="91" spans="1:4" x14ac:dyDescent="0.2">
      <c r="A91" s="6" t="s">
        <v>27</v>
      </c>
      <c r="B91" s="470" t="s">
        <v>36</v>
      </c>
      <c r="C91" s="471"/>
      <c r="D91" s="8"/>
    </row>
    <row r="92" spans="1:4" x14ac:dyDescent="0.2">
      <c r="A92" s="6" t="s">
        <v>28</v>
      </c>
      <c r="B92" s="470" t="s">
        <v>94</v>
      </c>
      <c r="C92" s="471"/>
      <c r="D92" s="384"/>
    </row>
    <row r="93" spans="1:4" x14ac:dyDescent="0.2">
      <c r="A93" s="474" t="s">
        <v>29</v>
      </c>
      <c r="B93" s="474"/>
      <c r="C93" s="474"/>
      <c r="D93" s="9">
        <f>SUM(D85:D92)</f>
        <v>0</v>
      </c>
    </row>
    <row r="94" spans="1:4" x14ac:dyDescent="0.2">
      <c r="D94" s="15"/>
    </row>
    <row r="95" spans="1:4" x14ac:dyDescent="0.2">
      <c r="A95" s="13" t="s">
        <v>99</v>
      </c>
      <c r="B95" s="463" t="s">
        <v>92</v>
      </c>
      <c r="C95" s="465"/>
      <c r="D95" s="33" t="s">
        <v>24</v>
      </c>
    </row>
    <row r="96" spans="1:4" s="60" customFormat="1" x14ac:dyDescent="0.2">
      <c r="A96" s="34" t="s">
        <v>3</v>
      </c>
      <c r="B96" s="475" t="s">
        <v>96</v>
      </c>
      <c r="C96" s="476"/>
      <c r="D96" s="120">
        <f>+'Calculo 12 36 Diu Arm'!C220</f>
        <v>0</v>
      </c>
    </row>
    <row r="97" spans="1:4" s="60" customFormat="1" ht="25.5" customHeight="1" x14ac:dyDescent="0.2">
      <c r="A97" s="34" t="s">
        <v>4</v>
      </c>
      <c r="B97" s="490" t="s">
        <v>98</v>
      </c>
      <c r="C97" s="491"/>
      <c r="D97" s="384"/>
    </row>
    <row r="98" spans="1:4" s="60" customFormat="1" ht="29.25" customHeight="1" x14ac:dyDescent="0.2">
      <c r="A98" s="34" t="s">
        <v>5</v>
      </c>
      <c r="B98" s="490" t="s">
        <v>97</v>
      </c>
      <c r="C98" s="491"/>
      <c r="D98" s="384"/>
    </row>
    <row r="99" spans="1:4" x14ac:dyDescent="0.2">
      <c r="A99" s="6" t="s">
        <v>6</v>
      </c>
      <c r="B99" s="470" t="s">
        <v>36</v>
      </c>
      <c r="C99" s="471"/>
      <c r="D99" s="8"/>
    </row>
    <row r="100" spans="1:4" x14ac:dyDescent="0.2">
      <c r="A100" s="474" t="s">
        <v>29</v>
      </c>
      <c r="B100" s="474"/>
      <c r="C100" s="474"/>
      <c r="D100" s="9">
        <f>SUM(D96:D99)</f>
        <v>0</v>
      </c>
    </row>
    <row r="101" spans="1:4" x14ac:dyDescent="0.2">
      <c r="D101" s="15"/>
    </row>
    <row r="102" spans="1:4" x14ac:dyDescent="0.2">
      <c r="A102" s="13" t="s">
        <v>91</v>
      </c>
      <c r="B102" s="474" t="s">
        <v>100</v>
      </c>
      <c r="C102" s="474"/>
      <c r="D102" s="46" t="s">
        <v>24</v>
      </c>
    </row>
    <row r="103" spans="1:4" s="50" customFormat="1" ht="30" customHeight="1" x14ac:dyDescent="0.2">
      <c r="A103" s="48" t="s">
        <v>3</v>
      </c>
      <c r="B103" s="492" t="s">
        <v>288</v>
      </c>
      <c r="C103" s="492"/>
      <c r="D103" s="49">
        <f>+'Calculo 12 36 Diu Arm'!C209</f>
        <v>0</v>
      </c>
    </row>
    <row r="104" spans="1:4" x14ac:dyDescent="0.2">
      <c r="A104" s="474" t="s">
        <v>29</v>
      </c>
      <c r="B104" s="474"/>
      <c r="C104" s="474"/>
      <c r="D104" s="9">
        <f>SUM(D103:D103)</f>
        <v>0</v>
      </c>
    </row>
    <row r="106" spans="1:4" x14ac:dyDescent="0.2">
      <c r="A106" s="62" t="s">
        <v>109</v>
      </c>
      <c r="B106" s="62"/>
      <c r="C106" s="62"/>
      <c r="D106" s="62"/>
    </row>
    <row r="107" spans="1:4" x14ac:dyDescent="0.2">
      <c r="A107" s="6" t="s">
        <v>85</v>
      </c>
      <c r="B107" s="470" t="s">
        <v>86</v>
      </c>
      <c r="C107" s="471"/>
      <c r="D107" s="18">
        <f>+D93</f>
        <v>0</v>
      </c>
    </row>
    <row r="108" spans="1:4" x14ac:dyDescent="0.2">
      <c r="A108" s="6" t="s">
        <v>99</v>
      </c>
      <c r="B108" s="470" t="s">
        <v>92</v>
      </c>
      <c r="C108" s="471"/>
      <c r="D108" s="18">
        <f>+D100</f>
        <v>0</v>
      </c>
    </row>
    <row r="109" spans="1:4" x14ac:dyDescent="0.2">
      <c r="A109" s="74"/>
      <c r="B109" s="472" t="s">
        <v>110</v>
      </c>
      <c r="C109" s="473"/>
      <c r="D109" s="73">
        <f>+D108+D107</f>
        <v>0</v>
      </c>
    </row>
    <row r="110" spans="1:4" x14ac:dyDescent="0.2">
      <c r="A110" s="6" t="s">
        <v>91</v>
      </c>
      <c r="B110" s="470" t="s">
        <v>100</v>
      </c>
      <c r="C110" s="471"/>
      <c r="D110" s="18">
        <f>+D104</f>
        <v>0</v>
      </c>
    </row>
    <row r="111" spans="1:4" x14ac:dyDescent="0.2">
      <c r="A111" s="494" t="s">
        <v>29</v>
      </c>
      <c r="B111" s="494"/>
      <c r="C111" s="494"/>
      <c r="D111" s="71">
        <f>+D110+D109</f>
        <v>0</v>
      </c>
    </row>
    <row r="113" spans="1:4" x14ac:dyDescent="0.2">
      <c r="A113" s="455" t="s">
        <v>151</v>
      </c>
      <c r="B113" s="455"/>
      <c r="C113" s="455"/>
      <c r="D113" s="455"/>
    </row>
    <row r="115" spans="1:4" x14ac:dyDescent="0.2">
      <c r="A115" s="13">
        <v>5</v>
      </c>
      <c r="B115" s="463" t="s">
        <v>152</v>
      </c>
      <c r="C115" s="465"/>
      <c r="D115" s="46" t="s">
        <v>24</v>
      </c>
    </row>
    <row r="116" spans="1:4" x14ac:dyDescent="0.2">
      <c r="A116" s="6" t="s">
        <v>3</v>
      </c>
      <c r="B116" s="388" t="s">
        <v>153</v>
      </c>
      <c r="C116" s="388"/>
      <c r="D116" s="8">
        <f>+Uniforme!G12</f>
        <v>0</v>
      </c>
    </row>
    <row r="117" spans="1:4" x14ac:dyDescent="0.2">
      <c r="A117" s="6" t="s">
        <v>177</v>
      </c>
      <c r="B117" s="34" t="s">
        <v>178</v>
      </c>
      <c r="C117" s="29">
        <f>+$C$135+$C$136</f>
        <v>3.6499999999999998E-2</v>
      </c>
      <c r="D117" s="77">
        <f>+(C117*D116)*-1</f>
        <v>0</v>
      </c>
    </row>
    <row r="118" spans="1:4" x14ac:dyDescent="0.2">
      <c r="A118" s="6" t="s">
        <v>4</v>
      </c>
      <c r="B118" s="388" t="s">
        <v>154</v>
      </c>
      <c r="C118" s="388"/>
      <c r="D118" s="8"/>
    </row>
    <row r="119" spans="1:4" x14ac:dyDescent="0.2">
      <c r="A119" s="6" t="s">
        <v>41</v>
      </c>
      <c r="B119" s="34" t="s">
        <v>178</v>
      </c>
      <c r="C119" s="29">
        <f>+$C$135+$C$136</f>
        <v>3.6499999999999998E-2</v>
      </c>
      <c r="D119" s="77">
        <f>+(C119*D118)*-1</f>
        <v>0</v>
      </c>
    </row>
    <row r="120" spans="1:4" x14ac:dyDescent="0.2">
      <c r="A120" s="6" t="s">
        <v>5</v>
      </c>
      <c r="B120" s="388" t="s">
        <v>155</v>
      </c>
      <c r="C120" s="388"/>
      <c r="D120" s="8">
        <f>+Uniforme!F27</f>
        <v>0</v>
      </c>
    </row>
    <row r="121" spans="1:4" x14ac:dyDescent="0.2">
      <c r="A121" s="6" t="s">
        <v>161</v>
      </c>
      <c r="B121" s="34" t="s">
        <v>178</v>
      </c>
      <c r="C121" s="29">
        <f>+$C$135+$C$136</f>
        <v>3.6499999999999998E-2</v>
      </c>
      <c r="D121" s="77">
        <f>+(C121*D120)*-1</f>
        <v>0</v>
      </c>
    </row>
    <row r="122" spans="1:4" x14ac:dyDescent="0.2">
      <c r="A122" s="6" t="s">
        <v>6</v>
      </c>
      <c r="B122" s="388" t="s">
        <v>36</v>
      </c>
      <c r="C122" s="388"/>
      <c r="D122" s="8"/>
    </row>
    <row r="123" spans="1:4" x14ac:dyDescent="0.2">
      <c r="A123" s="6" t="s">
        <v>179</v>
      </c>
      <c r="B123" s="34" t="s">
        <v>178</v>
      </c>
      <c r="C123" s="29">
        <f>+$C$135+$C$136</f>
        <v>3.6499999999999998E-2</v>
      </c>
      <c r="D123" s="77">
        <f>+(C123*D122)*-1</f>
        <v>0</v>
      </c>
    </row>
    <row r="124" spans="1:4" x14ac:dyDescent="0.2">
      <c r="A124" s="474" t="s">
        <v>29</v>
      </c>
      <c r="B124" s="474"/>
      <c r="C124" s="474"/>
      <c r="D124" s="9">
        <f>SUM(D116:D122)</f>
        <v>0</v>
      </c>
    </row>
    <row r="126" spans="1:4" x14ac:dyDescent="0.2">
      <c r="A126" s="455" t="s">
        <v>156</v>
      </c>
      <c r="B126" s="455"/>
      <c r="C126" s="455"/>
      <c r="D126" s="455"/>
    </row>
    <row r="128" spans="1:4" x14ac:dyDescent="0.2">
      <c r="A128" s="13">
        <v>6</v>
      </c>
      <c r="B128" s="14" t="s">
        <v>157</v>
      </c>
      <c r="C128" s="47" t="s">
        <v>50</v>
      </c>
      <c r="D128" s="46" t="s">
        <v>24</v>
      </c>
    </row>
    <row r="129" spans="1:4" x14ac:dyDescent="0.2">
      <c r="A129" s="116" t="s">
        <v>3</v>
      </c>
      <c r="B129" s="116" t="s">
        <v>158</v>
      </c>
      <c r="C129" s="114">
        <v>0.03</v>
      </c>
      <c r="D129" s="377">
        <f>($D$124+$D$111+$D$79+$D$68+$D$23)*C129</f>
        <v>0</v>
      </c>
    </row>
    <row r="130" spans="1:4" x14ac:dyDescent="0.2">
      <c r="A130" s="116" t="s">
        <v>4</v>
      </c>
      <c r="B130" s="116" t="s">
        <v>159</v>
      </c>
      <c r="C130" s="114">
        <v>0.03</v>
      </c>
      <c r="D130" s="377">
        <f>($D$124+$D$111+$D$79+$D$68+$D$23+D129)*C130</f>
        <v>0</v>
      </c>
    </row>
    <row r="131" spans="1:4" s="79" customFormat="1" ht="24" customHeight="1" x14ac:dyDescent="0.2">
      <c r="A131" s="495" t="s">
        <v>181</v>
      </c>
      <c r="B131" s="496"/>
      <c r="C131" s="497"/>
      <c r="D131" s="81">
        <f>++D130+D129+D124+D111+D79+D68+D23</f>
        <v>0</v>
      </c>
    </row>
    <row r="132" spans="1:4" s="79" customFormat="1" ht="24" customHeight="1" x14ac:dyDescent="0.2">
      <c r="A132" s="498" t="s">
        <v>182</v>
      </c>
      <c r="B132" s="499"/>
      <c r="C132" s="500"/>
      <c r="D132" s="81">
        <f>ROUND(D131/(1-(C135+C136+C138+C140+C141)),2)</f>
        <v>0</v>
      </c>
    </row>
    <row r="133" spans="1:4" x14ac:dyDescent="0.2">
      <c r="A133" s="6" t="s">
        <v>5</v>
      </c>
      <c r="B133" s="6" t="s">
        <v>160</v>
      </c>
      <c r="C133" s="17"/>
      <c r="D133" s="6"/>
    </row>
    <row r="134" spans="1:4" x14ac:dyDescent="0.2">
      <c r="A134" s="6" t="s">
        <v>161</v>
      </c>
      <c r="B134" s="6" t="s">
        <v>162</v>
      </c>
      <c r="C134" s="17"/>
      <c r="D134" s="6"/>
    </row>
    <row r="135" spans="1:4" x14ac:dyDescent="0.2">
      <c r="A135" s="116" t="s">
        <v>163</v>
      </c>
      <c r="B135" s="116" t="s">
        <v>165</v>
      </c>
      <c r="C135" s="114">
        <v>6.4999999999999997E-3</v>
      </c>
      <c r="D135" s="377">
        <f>ROUND(C135*$D$132,2)</f>
        <v>0</v>
      </c>
    </row>
    <row r="136" spans="1:4" x14ac:dyDescent="0.2">
      <c r="A136" s="116" t="s">
        <v>164</v>
      </c>
      <c r="B136" s="116" t="s">
        <v>166</v>
      </c>
      <c r="C136" s="114">
        <v>0.03</v>
      </c>
      <c r="D136" s="377">
        <f>ROUND(C136*$D$132,2)</f>
        <v>0</v>
      </c>
    </row>
    <row r="137" spans="1:4" x14ac:dyDescent="0.2">
      <c r="A137" s="6" t="s">
        <v>167</v>
      </c>
      <c r="B137" s="6" t="s">
        <v>168</v>
      </c>
      <c r="C137" s="17"/>
      <c r="D137" s="18"/>
    </row>
    <row r="138" spans="1:4" x14ac:dyDescent="0.2">
      <c r="A138" s="6" t="s">
        <v>170</v>
      </c>
      <c r="B138" s="6" t="s">
        <v>169</v>
      </c>
      <c r="C138" s="17"/>
      <c r="D138" s="6"/>
    </row>
    <row r="139" spans="1:4" x14ac:dyDescent="0.2">
      <c r="A139" s="6" t="s">
        <v>171</v>
      </c>
      <c r="B139" s="6" t="s">
        <v>172</v>
      </c>
      <c r="C139" s="17"/>
      <c r="D139" s="6"/>
    </row>
    <row r="140" spans="1:4" x14ac:dyDescent="0.2">
      <c r="A140" s="116" t="s">
        <v>173</v>
      </c>
      <c r="B140" s="116" t="s">
        <v>174</v>
      </c>
      <c r="C140" s="114">
        <v>0.05</v>
      </c>
      <c r="D140" s="377">
        <f>ROUND(C140*$D$132,2)</f>
        <v>0</v>
      </c>
    </row>
    <row r="141" spans="1:4" x14ac:dyDescent="0.2">
      <c r="A141" s="6" t="s">
        <v>175</v>
      </c>
      <c r="B141" s="6" t="s">
        <v>176</v>
      </c>
      <c r="C141" s="17"/>
      <c r="D141" s="6"/>
    </row>
    <row r="142" spans="1:4" x14ac:dyDescent="0.2">
      <c r="A142" s="463" t="s">
        <v>29</v>
      </c>
      <c r="B142" s="464"/>
      <c r="C142" s="80">
        <f>+C141+C140+C138+C136+C135+C130+C129</f>
        <v>0.14650000000000002</v>
      </c>
      <c r="D142" s="9">
        <f>+D140+D138+D136+D135+D130+D129</f>
        <v>0</v>
      </c>
    </row>
    <row r="144" spans="1:4" x14ac:dyDescent="0.2">
      <c r="A144" s="501" t="s">
        <v>183</v>
      </c>
      <c r="B144" s="501"/>
      <c r="C144" s="501"/>
      <c r="D144" s="501"/>
    </row>
    <row r="145" spans="1:4" x14ac:dyDescent="0.2">
      <c r="A145" s="6" t="s">
        <v>3</v>
      </c>
      <c r="B145" s="456" t="s">
        <v>185</v>
      </c>
      <c r="C145" s="456"/>
      <c r="D145" s="8">
        <f>+D23</f>
        <v>0</v>
      </c>
    </row>
    <row r="146" spans="1:4" x14ac:dyDescent="0.2">
      <c r="A146" s="6" t="s">
        <v>184</v>
      </c>
      <c r="B146" s="456" t="s">
        <v>186</v>
      </c>
      <c r="C146" s="456"/>
      <c r="D146" s="8">
        <f>+D68</f>
        <v>0</v>
      </c>
    </row>
    <row r="147" spans="1:4" x14ac:dyDescent="0.2">
      <c r="A147" s="6" t="s">
        <v>5</v>
      </c>
      <c r="B147" s="456" t="s">
        <v>187</v>
      </c>
      <c r="C147" s="456"/>
      <c r="D147" s="8">
        <f>+D79</f>
        <v>0</v>
      </c>
    </row>
    <row r="148" spans="1:4" x14ac:dyDescent="0.2">
      <c r="A148" s="6" t="s">
        <v>6</v>
      </c>
      <c r="B148" s="456" t="s">
        <v>188</v>
      </c>
      <c r="C148" s="456"/>
      <c r="D148" s="8">
        <f>+D111</f>
        <v>0</v>
      </c>
    </row>
    <row r="149" spans="1:4" x14ac:dyDescent="0.2">
      <c r="A149" s="6" t="s">
        <v>25</v>
      </c>
      <c r="B149" s="456" t="s">
        <v>189</v>
      </c>
      <c r="C149" s="456"/>
      <c r="D149" s="8">
        <f>+D124</f>
        <v>0</v>
      </c>
    </row>
    <row r="150" spans="1:4" x14ac:dyDescent="0.2">
      <c r="B150" s="457" t="s">
        <v>192</v>
      </c>
      <c r="C150" s="457"/>
      <c r="D150" s="72">
        <f>SUM(D145:D149)</f>
        <v>0</v>
      </c>
    </row>
    <row r="151" spans="1:4" x14ac:dyDescent="0.2">
      <c r="A151" s="6" t="s">
        <v>26</v>
      </c>
      <c r="B151" s="456" t="s">
        <v>190</v>
      </c>
      <c r="C151" s="456"/>
      <c r="D151" s="8">
        <f>+D142</f>
        <v>0</v>
      </c>
    </row>
    <row r="153" spans="1:4" x14ac:dyDescent="0.2">
      <c r="A153" s="493" t="s">
        <v>191</v>
      </c>
      <c r="B153" s="493"/>
      <c r="C153" s="493"/>
      <c r="D153" s="82">
        <f>ROUND(+D151+D150,2)</f>
        <v>0</v>
      </c>
    </row>
    <row r="155" spans="1:4" x14ac:dyDescent="0.2">
      <c r="A155" s="459" t="s">
        <v>77</v>
      </c>
      <c r="B155" s="459"/>
      <c r="C155" s="459"/>
      <c r="D155" s="459"/>
    </row>
    <row r="157" spans="1:4" x14ac:dyDescent="0.2">
      <c r="A157" s="6" t="s">
        <v>3</v>
      </c>
      <c r="B157" s="6" t="s">
        <v>46</v>
      </c>
      <c r="C157" s="44" t="e">
        <f>+C29</f>
        <v>#DIV/0!</v>
      </c>
      <c r="D157" s="8">
        <f>+D29</f>
        <v>0</v>
      </c>
    </row>
    <row r="158" spans="1:4" x14ac:dyDescent="0.2">
      <c r="A158" s="6" t="s">
        <v>4</v>
      </c>
      <c r="B158" s="6" t="s">
        <v>45</v>
      </c>
      <c r="C158" s="44" t="e">
        <f>+C31</f>
        <v>#DIV/0!</v>
      </c>
      <c r="D158" s="8">
        <f>+D31</f>
        <v>0</v>
      </c>
    </row>
    <row r="159" spans="1:4" x14ac:dyDescent="0.2">
      <c r="A159" s="6" t="s">
        <v>5</v>
      </c>
      <c r="B159" s="6" t="s">
        <v>44</v>
      </c>
      <c r="C159" s="44" t="e">
        <f>+C32</f>
        <v>#DIV/0!</v>
      </c>
      <c r="D159" s="8">
        <f>+D32</f>
        <v>0</v>
      </c>
    </row>
    <row r="160" spans="1:4" ht="25.5" x14ac:dyDescent="0.2">
      <c r="A160" s="6" t="s">
        <v>6</v>
      </c>
      <c r="B160" s="30" t="s">
        <v>75</v>
      </c>
      <c r="C160" s="17" t="e">
        <f>+C75</f>
        <v>#DIV/0!</v>
      </c>
      <c r="D160" s="8">
        <f>+D75</f>
        <v>0</v>
      </c>
    </row>
    <row r="161" spans="1:5" ht="25.5" x14ac:dyDescent="0.2">
      <c r="A161" s="6" t="s">
        <v>25</v>
      </c>
      <c r="B161" s="30" t="s">
        <v>76</v>
      </c>
      <c r="C161" s="44" t="e">
        <f>+C78</f>
        <v>#DIV/0!</v>
      </c>
      <c r="D161" s="18">
        <f>+D78</f>
        <v>0</v>
      </c>
    </row>
    <row r="162" spans="1:5" x14ac:dyDescent="0.2">
      <c r="A162" s="6" t="s">
        <v>81</v>
      </c>
      <c r="B162" s="34" t="s">
        <v>79</v>
      </c>
      <c r="C162" s="458" t="e">
        <f>+(D162+D163+D164)/D23</f>
        <v>#DIV/0!</v>
      </c>
      <c r="D162" s="8">
        <f>ROUND(D29*(SUM($C$37:$C$44)),2)</f>
        <v>0</v>
      </c>
    </row>
    <row r="163" spans="1:5" x14ac:dyDescent="0.2">
      <c r="A163" s="6" t="s">
        <v>82</v>
      </c>
      <c r="B163" s="34" t="s">
        <v>78</v>
      </c>
      <c r="C163" s="458"/>
      <c r="D163" s="8">
        <f>ROUND(D31*(SUM($C$37:$C$44)),2)</f>
        <v>0</v>
      </c>
    </row>
    <row r="164" spans="1:5" x14ac:dyDescent="0.2">
      <c r="A164" s="6" t="s">
        <v>83</v>
      </c>
      <c r="B164" s="34" t="s">
        <v>80</v>
      </c>
      <c r="C164" s="458"/>
      <c r="D164" s="8">
        <f>ROUND(D32*(SUM($C$37:$C$44)),2)</f>
        <v>0</v>
      </c>
    </row>
    <row r="165" spans="1:5" x14ac:dyDescent="0.2">
      <c r="A165" s="460" t="s">
        <v>29</v>
      </c>
      <c r="B165" s="461"/>
      <c r="C165" s="462"/>
      <c r="D165" s="45">
        <f>SUM(D157:D164)</f>
        <v>0</v>
      </c>
    </row>
    <row r="166" spans="1:5" x14ac:dyDescent="0.2">
      <c r="B166" s="96"/>
      <c r="C166" s="96"/>
      <c r="D166" s="96"/>
    </row>
    <row r="167" spans="1:5" s="67" customFormat="1" ht="40.5" customHeight="1" x14ac:dyDescent="0.2">
      <c r="A167" s="452" t="s">
        <v>289</v>
      </c>
      <c r="B167" s="452"/>
      <c r="C167" s="452"/>
      <c r="D167" s="452"/>
      <c r="E167" s="128"/>
    </row>
    <row r="168" spans="1:5" x14ac:dyDescent="0.2">
      <c r="A168" s="97"/>
      <c r="B168" s="97"/>
      <c r="C168" s="97"/>
      <c r="D168" s="97"/>
      <c r="E168" s="97"/>
    </row>
    <row r="169" spans="1:5" ht="39.75" customHeight="1" x14ac:dyDescent="0.2">
      <c r="A169" s="453" t="s">
        <v>290</v>
      </c>
      <c r="B169" s="453"/>
      <c r="C169" s="453"/>
      <c r="D169" s="453"/>
      <c r="E169" s="97"/>
    </row>
    <row r="170" spans="1:5" x14ac:dyDescent="0.2">
      <c r="A170" s="97"/>
      <c r="B170" s="97"/>
      <c r="C170" s="97"/>
      <c r="D170" s="97"/>
      <c r="E170" s="97"/>
    </row>
    <row r="171" spans="1:5" x14ac:dyDescent="0.2">
      <c r="A171" s="97" t="s">
        <v>362</v>
      </c>
      <c r="B171" s="97"/>
      <c r="C171" s="97"/>
      <c r="D171" s="97"/>
      <c r="E171" s="97"/>
    </row>
    <row r="172" spans="1:5" x14ac:dyDescent="0.2">
      <c r="A172" s="97"/>
      <c r="B172" s="97"/>
      <c r="C172" s="97"/>
      <c r="D172" s="97"/>
      <c r="E172" s="97"/>
    </row>
    <row r="173" spans="1:5" x14ac:dyDescent="0.2">
      <c r="A173" s="97"/>
      <c r="B173" s="97"/>
      <c r="C173" s="97"/>
      <c r="D173" s="97"/>
      <c r="E173" s="97"/>
    </row>
    <row r="174" spans="1:5" x14ac:dyDescent="0.2">
      <c r="A174" s="97"/>
      <c r="B174" s="97"/>
      <c r="C174" s="97"/>
      <c r="D174" s="97"/>
      <c r="E174" s="97"/>
    </row>
    <row r="175" spans="1:5" x14ac:dyDescent="0.2">
      <c r="A175" s="97"/>
      <c r="B175" s="97"/>
      <c r="C175" s="97"/>
      <c r="D175" s="97"/>
      <c r="E175" s="97"/>
    </row>
    <row r="176" spans="1:5" x14ac:dyDescent="0.2">
      <c r="A176" s="97"/>
      <c r="B176" s="97"/>
      <c r="C176" s="97"/>
      <c r="D176" s="97"/>
      <c r="E176" s="97"/>
    </row>
    <row r="177" spans="1:5" x14ac:dyDescent="0.2">
      <c r="A177" s="97"/>
      <c r="B177" s="97"/>
      <c r="C177" s="97"/>
      <c r="D177" s="97"/>
      <c r="E177" s="97"/>
    </row>
    <row r="178" spans="1:5" x14ac:dyDescent="0.2">
      <c r="A178" s="97"/>
      <c r="B178" s="97"/>
      <c r="C178" s="97"/>
      <c r="D178" s="97"/>
      <c r="E178" s="97"/>
    </row>
    <row r="179" spans="1:5" x14ac:dyDescent="0.2">
      <c r="A179" s="97"/>
      <c r="B179" s="97"/>
      <c r="C179" s="97"/>
      <c r="D179" s="97"/>
      <c r="E179" s="97"/>
    </row>
    <row r="180" spans="1:5" x14ac:dyDescent="0.2">
      <c r="A180" s="97"/>
      <c r="B180" s="97"/>
      <c r="C180" s="97"/>
      <c r="D180" s="97"/>
      <c r="E180" s="97"/>
    </row>
    <row r="181" spans="1:5" x14ac:dyDescent="0.2">
      <c r="A181" s="97"/>
      <c r="B181" s="97"/>
      <c r="C181" s="97"/>
      <c r="D181" s="97"/>
      <c r="E181" s="97"/>
    </row>
    <row r="182" spans="1:5" x14ac:dyDescent="0.2">
      <c r="A182" s="97"/>
      <c r="B182" s="97"/>
      <c r="C182" s="97"/>
      <c r="D182" s="97"/>
      <c r="E182" s="97"/>
    </row>
    <row r="183" spans="1:5" x14ac:dyDescent="0.2">
      <c r="A183" s="97"/>
      <c r="B183" s="97"/>
      <c r="C183" s="97"/>
      <c r="D183" s="97"/>
      <c r="E183" s="97"/>
    </row>
  </sheetData>
  <mergeCells count="83">
    <mergeCell ref="A142:B142"/>
    <mergeCell ref="B151:C151"/>
    <mergeCell ref="A153:C153"/>
    <mergeCell ref="B110:C110"/>
    <mergeCell ref="A111:C111"/>
    <mergeCell ref="B122:C122"/>
    <mergeCell ref="A124:C124"/>
    <mergeCell ref="B149:C149"/>
    <mergeCell ref="B148:C148"/>
    <mergeCell ref="B147:C147"/>
    <mergeCell ref="A131:C131"/>
    <mergeCell ref="A132:C132"/>
    <mergeCell ref="B145:C145"/>
    <mergeCell ref="A144:D144"/>
    <mergeCell ref="A113:D113"/>
    <mergeCell ref="B115:C115"/>
    <mergeCell ref="A126:D126"/>
    <mergeCell ref="B97:C97"/>
    <mergeCell ref="B98:C98"/>
    <mergeCell ref="B99:C99"/>
    <mergeCell ref="B102:C102"/>
    <mergeCell ref="B103:C103"/>
    <mergeCell ref="B116:C116"/>
    <mergeCell ref="B118:C118"/>
    <mergeCell ref="B120:C120"/>
    <mergeCell ref="C8:D8"/>
    <mergeCell ref="A3:D3"/>
    <mergeCell ref="A93:C93"/>
    <mergeCell ref="B12:C12"/>
    <mergeCell ref="A23:C23"/>
    <mergeCell ref="A33:C33"/>
    <mergeCell ref="B15:C15"/>
    <mergeCell ref="B16:C16"/>
    <mergeCell ref="B89:C89"/>
    <mergeCell ref="B90:C90"/>
    <mergeCell ref="B84:C84"/>
    <mergeCell ref="B85:C85"/>
    <mergeCell ref="B86:C86"/>
    <mergeCell ref="B87:C87"/>
    <mergeCell ref="B88:C88"/>
    <mergeCell ref="A81:D81"/>
    <mergeCell ref="A1:D1"/>
    <mergeCell ref="C4:D4"/>
    <mergeCell ref="C5:D5"/>
    <mergeCell ref="C6:D6"/>
    <mergeCell ref="C7:D7"/>
    <mergeCell ref="A83:D83"/>
    <mergeCell ref="B107:C107"/>
    <mergeCell ref="B108:C108"/>
    <mergeCell ref="B109:C109"/>
    <mergeCell ref="A104:C104"/>
    <mergeCell ref="B95:C95"/>
    <mergeCell ref="B96:C96"/>
    <mergeCell ref="A100:C100"/>
    <mergeCell ref="B92:C92"/>
    <mergeCell ref="B91:C91"/>
    <mergeCell ref="A68:C68"/>
    <mergeCell ref="A10:D10"/>
    <mergeCell ref="A25:D25"/>
    <mergeCell ref="A27:D27"/>
    <mergeCell ref="A35:D35"/>
    <mergeCell ref="A47:D47"/>
    <mergeCell ref="B18:C18"/>
    <mergeCell ref="B21:C21"/>
    <mergeCell ref="B22:C22"/>
    <mergeCell ref="B19:C19"/>
    <mergeCell ref="B17:C17"/>
    <mergeCell ref="A167:D167"/>
    <mergeCell ref="A169:D169"/>
    <mergeCell ref="B59:C59"/>
    <mergeCell ref="A63:D63"/>
    <mergeCell ref="A70:D70"/>
    <mergeCell ref="B146:C146"/>
    <mergeCell ref="B150:C150"/>
    <mergeCell ref="C162:C164"/>
    <mergeCell ref="A155:D155"/>
    <mergeCell ref="A165:C165"/>
    <mergeCell ref="A79:C79"/>
    <mergeCell ref="A61:B61"/>
    <mergeCell ref="B64:C64"/>
    <mergeCell ref="B65:C65"/>
    <mergeCell ref="B66:C66"/>
    <mergeCell ref="B67:C67"/>
  </mergeCells>
  <pageMargins left="1.1599999999999999" right="0.11811023622047245" top="0.24" bottom="0.45" header="0.17" footer="0.23"/>
  <pageSetup paperSize="9" scale="90" orientation="portrait" r:id="rId1"/>
  <headerFooter>
    <oddFooter>&amp;A</oddFooter>
  </headerFooter>
  <rowBreaks count="2" manualBreakCount="2">
    <brk id="62" max="16383" man="1"/>
    <brk id="112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theme="7" tint="-0.249977111117893"/>
  </sheetPr>
  <dimension ref="A1:D230"/>
  <sheetViews>
    <sheetView topLeftCell="A194" workbookViewId="0">
      <selection activeCell="A221" sqref="A221:C221"/>
    </sheetView>
  </sheetViews>
  <sheetFormatPr defaultRowHeight="12.75" x14ac:dyDescent="0.2"/>
  <cols>
    <col min="1" max="1" width="64.5" customWidth="1"/>
    <col min="2" max="2" width="12.25" bestFit="1" customWidth="1"/>
    <col min="3" max="3" width="11.875" bestFit="1" customWidth="1"/>
    <col min="4" max="4" width="9.375" bestFit="1" customWidth="1"/>
    <col min="5" max="5" width="69.125" customWidth="1"/>
  </cols>
  <sheetData>
    <row r="1" spans="1:3" ht="16.5" x14ac:dyDescent="0.25">
      <c r="A1" s="502" t="s">
        <v>334</v>
      </c>
      <c r="B1" s="502"/>
      <c r="C1" s="502"/>
    </row>
    <row r="3" spans="1:3" x14ac:dyDescent="0.2">
      <c r="A3" s="6" t="s">
        <v>102</v>
      </c>
      <c r="B3" s="6">
        <v>220</v>
      </c>
    </row>
    <row r="4" spans="1:3" x14ac:dyDescent="0.2">
      <c r="A4" s="6" t="s">
        <v>228</v>
      </c>
      <c r="B4" s="6">
        <v>365.25</v>
      </c>
    </row>
    <row r="5" spans="1:3" x14ac:dyDescent="0.2">
      <c r="A5" s="6" t="s">
        <v>230</v>
      </c>
      <c r="B5" s="51">
        <f>(365.25/12/2)/(7/7)</f>
        <v>15.21875</v>
      </c>
    </row>
    <row r="6" spans="1:3" x14ac:dyDescent="0.2">
      <c r="A6" s="34" t="s">
        <v>30</v>
      </c>
      <c r="B6" s="18">
        <f>+'Vigilante 12X36 Diurno Arm'!D12</f>
        <v>0</v>
      </c>
    </row>
    <row r="7" spans="1:3" x14ac:dyDescent="0.2">
      <c r="A7" s="34" t="s">
        <v>241</v>
      </c>
      <c r="B7" s="18">
        <f>+'Vigilante 12X36 Diurno Arm'!D23</f>
        <v>0</v>
      </c>
    </row>
    <row r="9" spans="1:3" x14ac:dyDescent="0.2">
      <c r="A9" s="503" t="s">
        <v>209</v>
      </c>
      <c r="B9" s="503"/>
      <c r="C9" s="503"/>
    </row>
    <row r="10" spans="1:3" x14ac:dyDescent="0.2">
      <c r="A10" s="6" t="s">
        <v>30</v>
      </c>
      <c r="B10" s="52"/>
      <c r="C10" s="90">
        <f>+'Vigilante 12X36 Diurno Arm'!D12</f>
        <v>0</v>
      </c>
    </row>
    <row r="11" spans="1:3" x14ac:dyDescent="0.2">
      <c r="A11" s="6" t="s">
        <v>31</v>
      </c>
      <c r="B11" s="52"/>
      <c r="C11" s="90">
        <f>+'Vigilante 12X36 Diurno Arm'!D13</f>
        <v>0</v>
      </c>
    </row>
    <row r="12" spans="1:3" x14ac:dyDescent="0.2">
      <c r="A12" s="6" t="s">
        <v>32</v>
      </c>
      <c r="B12" s="52"/>
      <c r="C12" s="90">
        <f>+'Vigilante 12X36 Diurno Arm'!D14</f>
        <v>0</v>
      </c>
    </row>
    <row r="13" spans="1:3" x14ac:dyDescent="0.2">
      <c r="A13" s="6" t="s">
        <v>33</v>
      </c>
      <c r="B13" s="52"/>
      <c r="C13" s="90">
        <f>+'Vigilante 12X36 Diurno Arm'!D15</f>
        <v>0</v>
      </c>
    </row>
    <row r="14" spans="1:3" x14ac:dyDescent="0.2">
      <c r="A14" s="6" t="s">
        <v>34</v>
      </c>
      <c r="B14" s="52"/>
      <c r="C14" s="90">
        <f>+'Vigilante 12X36 Diurno Arm'!D16</f>
        <v>0</v>
      </c>
    </row>
    <row r="15" spans="1:3" x14ac:dyDescent="0.2">
      <c r="A15" t="s">
        <v>65</v>
      </c>
      <c r="B15" s="52"/>
      <c r="C15" s="90">
        <f>+'Vigilante 12X36 Diurno Arm'!D20</f>
        <v>0</v>
      </c>
    </row>
    <row r="16" spans="1:3" x14ac:dyDescent="0.2">
      <c r="A16" s="35" t="s">
        <v>193</v>
      </c>
      <c r="B16" s="101"/>
      <c r="C16" s="102">
        <f>SUM(C10:C15)</f>
        <v>0</v>
      </c>
    </row>
    <row r="17" spans="1:3" x14ac:dyDescent="0.2">
      <c r="A17" s="6" t="s">
        <v>102</v>
      </c>
      <c r="B17" s="57">
        <f>+B3</f>
        <v>220</v>
      </c>
      <c r="C17" s="54"/>
    </row>
    <row r="18" spans="1:3" x14ac:dyDescent="0.2">
      <c r="A18" s="35" t="s">
        <v>103</v>
      </c>
      <c r="B18" s="101"/>
      <c r="C18" s="36">
        <f>+C16/B17</f>
        <v>0</v>
      </c>
    </row>
    <row r="19" spans="1:3" x14ac:dyDescent="0.2">
      <c r="A19" s="6" t="s">
        <v>197</v>
      </c>
      <c r="B19" s="6">
        <v>16</v>
      </c>
      <c r="C19" s="54"/>
    </row>
    <row r="20" spans="1:3" x14ac:dyDescent="0.2">
      <c r="A20" s="6" t="s">
        <v>198</v>
      </c>
      <c r="B20" s="6">
        <v>12</v>
      </c>
      <c r="C20" s="54"/>
    </row>
    <row r="21" spans="1:3" x14ac:dyDescent="0.2">
      <c r="A21" s="6" t="s">
        <v>199</v>
      </c>
      <c r="B21" s="6">
        <f>+B20*B19</f>
        <v>192</v>
      </c>
      <c r="C21" s="8">
        <f>+B21*C18</f>
        <v>0</v>
      </c>
    </row>
    <row r="22" spans="1:3" x14ac:dyDescent="0.2">
      <c r="A22" s="6" t="s">
        <v>200</v>
      </c>
      <c r="B22" s="17">
        <v>0.5</v>
      </c>
      <c r="C22" s="8">
        <f>+B22*C21</f>
        <v>0</v>
      </c>
    </row>
    <row r="23" spans="1:3" x14ac:dyDescent="0.2">
      <c r="A23" s="6" t="s">
        <v>201</v>
      </c>
      <c r="B23" s="17">
        <v>1</v>
      </c>
      <c r="C23" s="8">
        <f>+B23*C22</f>
        <v>0</v>
      </c>
    </row>
    <row r="24" spans="1:3" x14ac:dyDescent="0.2">
      <c r="A24" s="6" t="s">
        <v>202</v>
      </c>
      <c r="B24" s="6">
        <v>12</v>
      </c>
      <c r="C24" s="91"/>
    </row>
    <row r="25" spans="1:3" x14ac:dyDescent="0.2">
      <c r="A25" s="504" t="s">
        <v>203</v>
      </c>
      <c r="B25" s="505"/>
      <c r="C25" s="45">
        <f>+C23/B24</f>
        <v>0</v>
      </c>
    </row>
    <row r="26" spans="1:3" x14ac:dyDescent="0.2">
      <c r="C26" s="15"/>
    </row>
    <row r="27" spans="1:3" x14ac:dyDescent="0.2">
      <c r="A27" s="503" t="s">
        <v>210</v>
      </c>
      <c r="B27" s="503"/>
      <c r="C27" s="503"/>
    </row>
    <row r="28" spans="1:3" x14ac:dyDescent="0.2">
      <c r="A28" s="6" t="s">
        <v>103</v>
      </c>
      <c r="B28" s="52"/>
      <c r="C28" s="90">
        <f>+C18</f>
        <v>0</v>
      </c>
    </row>
    <row r="29" spans="1:3" x14ac:dyDescent="0.2">
      <c r="A29" s="6" t="s">
        <v>199</v>
      </c>
      <c r="B29" s="6">
        <v>192</v>
      </c>
      <c r="C29" s="54"/>
    </row>
    <row r="30" spans="1:3" x14ac:dyDescent="0.2">
      <c r="A30" s="6" t="s">
        <v>204</v>
      </c>
      <c r="B30" s="6">
        <f>+$B$4</f>
        <v>365.25</v>
      </c>
      <c r="C30" s="54"/>
    </row>
    <row r="31" spans="1:3" x14ac:dyDescent="0.2">
      <c r="A31" s="6" t="s">
        <v>197</v>
      </c>
      <c r="B31" s="6">
        <v>16</v>
      </c>
      <c r="C31" s="54"/>
    </row>
    <row r="32" spans="1:3" x14ac:dyDescent="0.2">
      <c r="A32" s="6" t="s">
        <v>200</v>
      </c>
      <c r="B32" s="17">
        <v>0.5</v>
      </c>
      <c r="C32" s="54"/>
    </row>
    <row r="33" spans="1:3" x14ac:dyDescent="0.2">
      <c r="A33" s="6" t="s">
        <v>205</v>
      </c>
      <c r="B33" s="92">
        <f>ROUND(((B30/7)*6)-B31,2)</f>
        <v>297.07</v>
      </c>
      <c r="C33" s="54"/>
    </row>
    <row r="34" spans="1:3" x14ac:dyDescent="0.2">
      <c r="A34" s="6" t="s">
        <v>206</v>
      </c>
      <c r="B34" s="34">
        <v>12</v>
      </c>
      <c r="C34" s="54"/>
    </row>
    <row r="35" spans="1:3" ht="25.5" x14ac:dyDescent="0.2">
      <c r="A35" s="30" t="s">
        <v>207</v>
      </c>
      <c r="B35" s="6">
        <f>+((B29/B34)*B32)/B33</f>
        <v>2.6929679873430507E-2</v>
      </c>
      <c r="C35" s="54"/>
    </row>
    <row r="36" spans="1:3" x14ac:dyDescent="0.2">
      <c r="A36" s="24" t="s">
        <v>208</v>
      </c>
      <c r="B36" s="24"/>
      <c r="C36" s="45">
        <f>+C28*(B30-B33)*B35</f>
        <v>0</v>
      </c>
    </row>
    <row r="37" spans="1:3" x14ac:dyDescent="0.2">
      <c r="C37" s="15"/>
    </row>
    <row r="38" spans="1:3" x14ac:dyDescent="0.2">
      <c r="A38" s="459" t="s">
        <v>107</v>
      </c>
      <c r="B38" s="459"/>
      <c r="C38" s="459"/>
    </row>
    <row r="39" spans="1:3" x14ac:dyDescent="0.2">
      <c r="A39" s="55" t="s">
        <v>30</v>
      </c>
      <c r="B39" s="86"/>
      <c r="C39" s="56">
        <f>+'Vigilante 12X36 Diurno Arm'!D12</f>
        <v>0</v>
      </c>
    </row>
    <row r="40" spans="1:3" x14ac:dyDescent="0.2">
      <c r="A40" s="55" t="s">
        <v>31</v>
      </c>
      <c r="B40" s="58"/>
      <c r="C40" s="56">
        <f>+'Vigilante 12X36 Diurno Arm'!D13</f>
        <v>0</v>
      </c>
    </row>
    <row r="41" spans="1:3" x14ac:dyDescent="0.2">
      <c r="A41" s="55" t="s">
        <v>32</v>
      </c>
      <c r="B41" s="58"/>
      <c r="C41" s="56">
        <f>+'Vigilante 12X36 Diurno Arm'!D14</f>
        <v>0</v>
      </c>
    </row>
    <row r="42" spans="1:3" x14ac:dyDescent="0.2">
      <c r="A42" s="55" t="s">
        <v>33</v>
      </c>
      <c r="B42" s="58"/>
      <c r="C42" s="56">
        <f>+'Vigilante 12X36 Diurno Arm'!D15</f>
        <v>0</v>
      </c>
    </row>
    <row r="43" spans="1:3" x14ac:dyDescent="0.2">
      <c r="A43" s="55" t="s">
        <v>34</v>
      </c>
      <c r="B43" s="58"/>
      <c r="C43" s="56">
        <f>+'Vigilante 12X36 Diurno Arm'!D16</f>
        <v>0</v>
      </c>
    </row>
    <row r="44" spans="1:3" x14ac:dyDescent="0.2">
      <c r="A44" s="55" t="s">
        <v>35</v>
      </c>
      <c r="B44" s="58"/>
      <c r="C44" s="56">
        <f>+'Vigilante 12X36 Diurno Arm'!D18</f>
        <v>0</v>
      </c>
    </row>
    <row r="45" spans="1:3" x14ac:dyDescent="0.2">
      <c r="A45" s="55" t="s">
        <v>65</v>
      </c>
      <c r="B45" s="58"/>
      <c r="C45" s="56">
        <f>+'Vigilante 12X36 Diurno Arm'!D20</f>
        <v>0</v>
      </c>
    </row>
    <row r="46" spans="1:3" x14ac:dyDescent="0.2">
      <c r="A46" s="35" t="s">
        <v>101</v>
      </c>
      <c r="B46" s="99"/>
      <c r="C46" s="100">
        <f>SUM(C39:C45)</f>
        <v>0</v>
      </c>
    </row>
    <row r="47" spans="1:3" x14ac:dyDescent="0.2">
      <c r="A47" s="6" t="s">
        <v>102</v>
      </c>
      <c r="B47" s="57">
        <f>+B3</f>
        <v>220</v>
      </c>
      <c r="C47" s="58"/>
    </row>
    <row r="48" spans="1:3" x14ac:dyDescent="0.2">
      <c r="A48" s="6" t="s">
        <v>103</v>
      </c>
      <c r="B48" s="58"/>
      <c r="C48" s="59">
        <f>ROUND(+C46/B47,2)</f>
        <v>0</v>
      </c>
    </row>
    <row r="49" spans="1:3" x14ac:dyDescent="0.2">
      <c r="A49" s="6" t="s">
        <v>229</v>
      </c>
      <c r="B49" s="51">
        <f>(365.25/12/2)/(7/7)</f>
        <v>15.21875</v>
      </c>
      <c r="C49" s="58"/>
    </row>
    <row r="50" spans="1:3" x14ac:dyDescent="0.2">
      <c r="A50" s="6" t="s">
        <v>105</v>
      </c>
      <c r="B50" s="17">
        <v>0.5</v>
      </c>
      <c r="C50" s="6"/>
    </row>
    <row r="51" spans="1:3" x14ac:dyDescent="0.2">
      <c r="A51" s="504" t="s">
        <v>106</v>
      </c>
      <c r="B51" s="505"/>
      <c r="C51" s="45">
        <f>ROUND((B49*C48)*(1+B50),2)</f>
        <v>0</v>
      </c>
    </row>
    <row r="53" spans="1:3" x14ac:dyDescent="0.2">
      <c r="A53" s="459" t="s">
        <v>212</v>
      </c>
      <c r="B53" s="459"/>
      <c r="C53" s="459"/>
    </row>
    <row r="54" spans="1:3" x14ac:dyDescent="0.2">
      <c r="A54" s="6" t="s">
        <v>204</v>
      </c>
      <c r="B54" s="6">
        <v>365.25</v>
      </c>
      <c r="C54" s="52"/>
    </row>
    <row r="55" spans="1:3" x14ac:dyDescent="0.2">
      <c r="A55" s="6" t="s">
        <v>206</v>
      </c>
      <c r="B55" s="34">
        <v>12</v>
      </c>
      <c r="C55" s="52"/>
    </row>
    <row r="56" spans="1:3" x14ac:dyDescent="0.2">
      <c r="A56" s="6" t="s">
        <v>213</v>
      </c>
      <c r="B56" s="17">
        <v>0.5</v>
      </c>
      <c r="C56" s="52"/>
    </row>
    <row r="57" spans="1:3" x14ac:dyDescent="0.2">
      <c r="A57" s="103" t="s">
        <v>448</v>
      </c>
      <c r="B57" s="34">
        <v>7</v>
      </c>
      <c r="C57" s="52"/>
    </row>
    <row r="58" spans="1:3" x14ac:dyDescent="0.2">
      <c r="A58" s="34" t="s">
        <v>214</v>
      </c>
      <c r="B58" s="52"/>
      <c r="C58" s="18">
        <f>+'Vigilante 12X36 Diurno Arm'!$D$12</f>
        <v>0</v>
      </c>
    </row>
    <row r="59" spans="1:3" x14ac:dyDescent="0.2">
      <c r="A59" s="34" t="s">
        <v>31</v>
      </c>
      <c r="B59" s="52"/>
      <c r="C59" s="18">
        <f>+'Vigilante 12X36 Diurno Arm'!$D$13</f>
        <v>0</v>
      </c>
    </row>
    <row r="60" spans="1:3" x14ac:dyDescent="0.2">
      <c r="A60" s="34" t="s">
        <v>32</v>
      </c>
      <c r="B60" s="52"/>
      <c r="C60" s="18">
        <f>+'Vigilante 12X36 Diurno Arm'!$D$14</f>
        <v>0</v>
      </c>
    </row>
    <row r="61" spans="1:3" x14ac:dyDescent="0.2">
      <c r="A61" s="104" t="s">
        <v>193</v>
      </c>
      <c r="B61" s="52"/>
      <c r="C61" s="105">
        <f>SUM(C58:C60)</f>
        <v>0</v>
      </c>
    </row>
    <row r="62" spans="1:3" x14ac:dyDescent="0.2">
      <c r="A62" s="6" t="s">
        <v>102</v>
      </c>
      <c r="B62" s="106">
        <f>+B3</f>
        <v>220</v>
      </c>
      <c r="C62" s="52"/>
    </row>
    <row r="63" spans="1:3" x14ac:dyDescent="0.2">
      <c r="A63" s="34" t="s">
        <v>215</v>
      </c>
      <c r="B63" s="17">
        <v>0.2</v>
      </c>
      <c r="C63" s="52"/>
    </row>
    <row r="64" spans="1:3" x14ac:dyDescent="0.2">
      <c r="A64" s="34" t="s">
        <v>216</v>
      </c>
      <c r="B64" s="52"/>
      <c r="C64" s="8">
        <f>ROUND((C61/B62)*B63,2)</f>
        <v>0</v>
      </c>
    </row>
    <row r="65" spans="1:3" x14ac:dyDescent="0.2">
      <c r="A65" s="34" t="s">
        <v>217</v>
      </c>
      <c r="B65" s="6">
        <f>ROUND(+B54/B55*B56*B57,0)</f>
        <v>107</v>
      </c>
      <c r="C65" s="53"/>
    </row>
    <row r="66" spans="1:3" x14ac:dyDescent="0.2">
      <c r="A66" s="506" t="s">
        <v>218</v>
      </c>
      <c r="B66" s="506"/>
      <c r="C66" s="32">
        <f>ROUND(+B65*C64,2)</f>
        <v>0</v>
      </c>
    </row>
    <row r="68" spans="1:3" x14ac:dyDescent="0.2">
      <c r="A68" s="503" t="s">
        <v>232</v>
      </c>
      <c r="B68" s="503"/>
      <c r="C68" s="503"/>
    </row>
    <row r="69" spans="1:3" x14ac:dyDescent="0.2">
      <c r="A69" s="6" t="s">
        <v>103</v>
      </c>
      <c r="B69" s="52"/>
      <c r="C69" s="90">
        <f>+C66</f>
        <v>0</v>
      </c>
    </row>
    <row r="70" spans="1:3" x14ac:dyDescent="0.2">
      <c r="A70" s="6" t="s">
        <v>199</v>
      </c>
      <c r="B70" s="6">
        <v>192</v>
      </c>
      <c r="C70" s="54"/>
    </row>
    <row r="71" spans="1:3" x14ac:dyDescent="0.2">
      <c r="A71" s="6" t="s">
        <v>204</v>
      </c>
      <c r="B71" s="6">
        <f>+$B$4</f>
        <v>365.25</v>
      </c>
      <c r="C71" s="54"/>
    </row>
    <row r="72" spans="1:3" x14ac:dyDescent="0.2">
      <c r="A72" s="6" t="s">
        <v>197</v>
      </c>
      <c r="B72" s="6">
        <v>16</v>
      </c>
      <c r="C72" s="54"/>
    </row>
    <row r="73" spans="1:3" x14ac:dyDescent="0.2">
      <c r="A73" s="6" t="s">
        <v>200</v>
      </c>
      <c r="B73" s="17">
        <v>0.5</v>
      </c>
      <c r="C73" s="54"/>
    </row>
    <row r="74" spans="1:3" x14ac:dyDescent="0.2">
      <c r="A74" s="6" t="s">
        <v>205</v>
      </c>
      <c r="B74" s="92">
        <f>ROUND(((B71/7)*6)-B72,2)</f>
        <v>297.07</v>
      </c>
      <c r="C74" s="54"/>
    </row>
    <row r="75" spans="1:3" x14ac:dyDescent="0.2">
      <c r="A75" s="6" t="s">
        <v>206</v>
      </c>
      <c r="B75" s="34">
        <v>12</v>
      </c>
      <c r="C75" s="54"/>
    </row>
    <row r="76" spans="1:3" ht="25.5" x14ac:dyDescent="0.2">
      <c r="A76" s="30" t="s">
        <v>207</v>
      </c>
      <c r="B76" s="6">
        <f>+((B70/B75)*B73)/B74</f>
        <v>2.6929679873430507E-2</v>
      </c>
      <c r="C76" s="54"/>
    </row>
    <row r="77" spans="1:3" x14ac:dyDescent="0.2">
      <c r="A77" s="24" t="s">
        <v>208</v>
      </c>
      <c r="B77" s="24"/>
      <c r="C77" s="45">
        <f>+C69/B70*(B71-B74)*B76</f>
        <v>0</v>
      </c>
    </row>
    <row r="79" spans="1:3" x14ac:dyDescent="0.2">
      <c r="A79" s="459" t="s">
        <v>219</v>
      </c>
      <c r="B79" s="459"/>
      <c r="C79" s="459"/>
    </row>
    <row r="80" spans="1:3" x14ac:dyDescent="0.2">
      <c r="A80" s="6" t="s">
        <v>204</v>
      </c>
      <c r="B80" s="6">
        <f>+$B$4</f>
        <v>365.25</v>
      </c>
      <c r="C80" s="52"/>
    </row>
    <row r="81" spans="1:4" x14ac:dyDescent="0.2">
      <c r="A81" s="6" t="s">
        <v>206</v>
      </c>
      <c r="B81" s="34">
        <v>12</v>
      </c>
      <c r="C81" s="52"/>
    </row>
    <row r="82" spans="1:4" x14ac:dyDescent="0.2">
      <c r="A82" s="6" t="s">
        <v>213</v>
      </c>
      <c r="B82" s="17">
        <v>0.5</v>
      </c>
      <c r="C82" s="52"/>
      <c r="D82" s="109"/>
    </row>
    <row r="83" spans="1:4" x14ac:dyDescent="0.2">
      <c r="A83" s="103" t="s">
        <v>448</v>
      </c>
      <c r="B83" s="34">
        <v>7</v>
      </c>
      <c r="C83" s="52"/>
      <c r="D83" s="109"/>
    </row>
    <row r="84" spans="1:4" x14ac:dyDescent="0.2">
      <c r="A84" s="34" t="s">
        <v>220</v>
      </c>
      <c r="B84" s="51">
        <f>(365.25/12/2)/(7/7)</f>
        <v>15.21875</v>
      </c>
      <c r="C84" s="6"/>
      <c r="D84" s="109"/>
    </row>
    <row r="85" spans="1:4" x14ac:dyDescent="0.2">
      <c r="A85" s="34" t="s">
        <v>221</v>
      </c>
      <c r="B85" s="6">
        <f>ROUND(+B84*B83,2)</f>
        <v>106.53</v>
      </c>
      <c r="C85" s="6"/>
    </row>
    <row r="86" spans="1:4" x14ac:dyDescent="0.2">
      <c r="A86" s="34" t="s">
        <v>214</v>
      </c>
      <c r="B86" s="52"/>
      <c r="C86" s="18">
        <f>+'Vigilante 12X36 Diurno Arm'!$D$12</f>
        <v>0</v>
      </c>
    </row>
    <row r="87" spans="1:4" x14ac:dyDescent="0.2">
      <c r="A87" s="34" t="s">
        <v>31</v>
      </c>
      <c r="B87" s="52"/>
      <c r="C87" s="18">
        <f>+'Vigilante 12X36 Diurno Arm'!$D$13</f>
        <v>0</v>
      </c>
    </row>
    <row r="88" spans="1:4" x14ac:dyDescent="0.2">
      <c r="A88" s="34" t="s">
        <v>32</v>
      </c>
      <c r="B88" s="52"/>
      <c r="C88" s="18">
        <f>+'Vigilante 12X36 Diurno Arm'!$D$14</f>
        <v>0</v>
      </c>
    </row>
    <row r="89" spans="1:4" x14ac:dyDescent="0.2">
      <c r="A89" s="104" t="s">
        <v>193</v>
      </c>
      <c r="B89" s="52"/>
      <c r="C89" s="105">
        <f>SUM(C86:C88)</f>
        <v>0</v>
      </c>
      <c r="D89" s="88"/>
    </row>
    <row r="90" spans="1:4" x14ac:dyDescent="0.2">
      <c r="A90" s="6" t="s">
        <v>102</v>
      </c>
      <c r="B90" s="106">
        <f>+B3</f>
        <v>220</v>
      </c>
      <c r="C90" s="52"/>
    </row>
    <row r="91" spans="1:4" x14ac:dyDescent="0.2">
      <c r="A91" s="34" t="s">
        <v>215</v>
      </c>
      <c r="B91" s="17">
        <v>0.2</v>
      </c>
      <c r="C91" s="52"/>
    </row>
    <row r="92" spans="1:4" x14ac:dyDescent="0.2">
      <c r="A92" s="34" t="s">
        <v>216</v>
      </c>
      <c r="B92" s="52"/>
      <c r="C92" s="8">
        <f>ROUND((C89/B90)*B91,2)</f>
        <v>0</v>
      </c>
    </row>
    <row r="93" spans="1:4" x14ac:dyDescent="0.2">
      <c r="A93" s="34" t="s">
        <v>223</v>
      </c>
      <c r="B93" s="6">
        <v>60</v>
      </c>
      <c r="C93" s="52"/>
    </row>
    <row r="94" spans="1:4" x14ac:dyDescent="0.2">
      <c r="A94" s="34" t="s">
        <v>222</v>
      </c>
      <c r="B94" s="6">
        <v>52.5</v>
      </c>
      <c r="C94" s="52"/>
    </row>
    <row r="95" spans="1:4" x14ac:dyDescent="0.2">
      <c r="A95" s="34" t="s">
        <v>224</v>
      </c>
      <c r="B95" s="6">
        <f>+B93/B94</f>
        <v>1.1428571428571428</v>
      </c>
      <c r="C95" s="52"/>
    </row>
    <row r="96" spans="1:4" x14ac:dyDescent="0.2">
      <c r="A96" s="34" t="s">
        <v>225</v>
      </c>
      <c r="B96" s="6">
        <f>ROUND(+B95*B85,2)</f>
        <v>121.75</v>
      </c>
      <c r="C96" s="52"/>
    </row>
    <row r="97" spans="1:3" x14ac:dyDescent="0.2">
      <c r="A97" s="34" t="s">
        <v>226</v>
      </c>
      <c r="B97" s="6">
        <f>ROUND(B96-B85,2)</f>
        <v>15.22</v>
      </c>
      <c r="C97" s="53"/>
    </row>
    <row r="98" spans="1:3" x14ac:dyDescent="0.2">
      <c r="A98" s="494" t="s">
        <v>227</v>
      </c>
      <c r="B98" s="494"/>
      <c r="C98" s="71">
        <f>+B97*C92</f>
        <v>0</v>
      </c>
    </row>
    <row r="100" spans="1:3" x14ac:dyDescent="0.2">
      <c r="A100" s="459" t="s">
        <v>233</v>
      </c>
      <c r="B100" s="459"/>
      <c r="C100" s="459"/>
    </row>
    <row r="101" spans="1:3" x14ac:dyDescent="0.2">
      <c r="A101" s="6" t="s">
        <v>204</v>
      </c>
      <c r="B101" s="6">
        <f>+$B$4</f>
        <v>365.25</v>
      </c>
      <c r="C101" s="52"/>
    </row>
    <row r="102" spans="1:3" x14ac:dyDescent="0.2">
      <c r="A102" s="6" t="s">
        <v>206</v>
      </c>
      <c r="B102" s="34">
        <v>12</v>
      </c>
      <c r="C102" s="52"/>
    </row>
    <row r="103" spans="1:3" x14ac:dyDescent="0.2">
      <c r="A103" s="6" t="s">
        <v>213</v>
      </c>
      <c r="B103" s="17">
        <v>0.5</v>
      </c>
      <c r="C103" s="52"/>
    </row>
    <row r="104" spans="1:3" x14ac:dyDescent="0.2">
      <c r="A104" s="34" t="s">
        <v>234</v>
      </c>
      <c r="B104" s="6">
        <f>ROUND((B101/B102)*B103,2)</f>
        <v>15.22</v>
      </c>
      <c r="C104" s="52"/>
    </row>
    <row r="105" spans="1:3" x14ac:dyDescent="0.2">
      <c r="A105" s="205" t="s">
        <v>235</v>
      </c>
      <c r="B105" s="206"/>
      <c r="C105" s="52"/>
    </row>
    <row r="106" spans="1:3" x14ac:dyDescent="0.2">
      <c r="A106" s="6" t="s">
        <v>236</v>
      </c>
      <c r="B106" s="17">
        <v>0.06</v>
      </c>
      <c r="C106" s="52"/>
    </row>
    <row r="107" spans="1:3" x14ac:dyDescent="0.2">
      <c r="A107" s="504" t="s">
        <v>237</v>
      </c>
      <c r="B107" s="505"/>
      <c r="C107" s="45">
        <f>ROUND((B104*(B105*2)-($B$6*B106)),2)</f>
        <v>0</v>
      </c>
    </row>
    <row r="109" spans="1:3" x14ac:dyDescent="0.2">
      <c r="A109" s="459" t="s">
        <v>238</v>
      </c>
      <c r="B109" s="459"/>
      <c r="C109" s="459"/>
    </row>
    <row r="110" spans="1:3" x14ac:dyDescent="0.2">
      <c r="A110" s="6" t="s">
        <v>204</v>
      </c>
      <c r="B110" s="6">
        <f>+$B$4</f>
        <v>365.25</v>
      </c>
      <c r="C110" s="52"/>
    </row>
    <row r="111" spans="1:3" x14ac:dyDescent="0.2">
      <c r="A111" s="6" t="s">
        <v>206</v>
      </c>
      <c r="B111" s="34">
        <v>12</v>
      </c>
      <c r="C111" s="52"/>
    </row>
    <row r="112" spans="1:3" x14ac:dyDescent="0.2">
      <c r="A112" s="6" t="s">
        <v>213</v>
      </c>
      <c r="B112" s="17">
        <v>0.5</v>
      </c>
      <c r="C112" s="52"/>
    </row>
    <row r="113" spans="1:3" x14ac:dyDescent="0.2">
      <c r="A113" s="34" t="s">
        <v>234</v>
      </c>
      <c r="B113" s="6">
        <f>ROUND((B110/B111)*B112,2)</f>
        <v>15.22</v>
      </c>
      <c r="C113" s="52"/>
    </row>
    <row r="114" spans="1:3" x14ac:dyDescent="0.2">
      <c r="A114" s="205" t="s">
        <v>239</v>
      </c>
      <c r="B114" s="206"/>
      <c r="C114" s="52"/>
    </row>
    <row r="115" spans="1:3" x14ac:dyDescent="0.2">
      <c r="A115" s="6" t="s">
        <v>366</v>
      </c>
      <c r="B115" s="17">
        <v>0.2</v>
      </c>
      <c r="C115" s="52"/>
    </row>
    <row r="116" spans="1:3" x14ac:dyDescent="0.2">
      <c r="A116" s="504" t="s">
        <v>239</v>
      </c>
      <c r="B116" s="505"/>
      <c r="C116" s="45">
        <f>ROUND((B113*(B114)-((B113*B114)*B115)),2)</f>
        <v>0</v>
      </c>
    </row>
    <row r="118" spans="1:3" x14ac:dyDescent="0.2">
      <c r="A118" s="459" t="s">
        <v>240</v>
      </c>
      <c r="B118" s="459"/>
      <c r="C118" s="459"/>
    </row>
    <row r="119" spans="1:3" x14ac:dyDescent="0.2">
      <c r="A119" s="6" t="s">
        <v>242</v>
      </c>
      <c r="B119" s="18">
        <f>+B7</f>
        <v>0</v>
      </c>
      <c r="C119" s="52"/>
    </row>
    <row r="120" spans="1:3" x14ac:dyDescent="0.2">
      <c r="A120" s="6" t="s">
        <v>243</v>
      </c>
      <c r="B120" s="6">
        <v>12</v>
      </c>
      <c r="C120" s="52"/>
    </row>
    <row r="121" spans="1:3" x14ac:dyDescent="0.2">
      <c r="A121" s="116" t="s">
        <v>244</v>
      </c>
      <c r="B121" s="114"/>
      <c r="C121" s="52"/>
    </row>
    <row r="122" spans="1:3" x14ac:dyDescent="0.2">
      <c r="A122" s="494" t="s">
        <v>245</v>
      </c>
      <c r="B122" s="494"/>
      <c r="C122" s="45">
        <f>ROUND(+(B119/B120)*B121,2)</f>
        <v>0</v>
      </c>
    </row>
    <row r="124" spans="1:3" ht="27" customHeight="1" x14ac:dyDescent="0.2">
      <c r="A124" s="507" t="s">
        <v>246</v>
      </c>
      <c r="B124" s="508"/>
      <c r="C124" s="509"/>
    </row>
    <row r="125" spans="1:3" s="60" customFormat="1" x14ac:dyDescent="0.2">
      <c r="A125" s="117" t="s">
        <v>251</v>
      </c>
      <c r="B125" s="114">
        <f>+B121</f>
        <v>0</v>
      </c>
      <c r="C125" s="52"/>
    </row>
    <row r="126" spans="1:3" x14ac:dyDescent="0.2">
      <c r="A126" s="6" t="s">
        <v>247</v>
      </c>
      <c r="B126" s="18">
        <f>+'Vigilante 12X36 Diurno Arm'!$D$23</f>
        <v>0</v>
      </c>
      <c r="C126" s="52"/>
    </row>
    <row r="127" spans="1:3" x14ac:dyDescent="0.2">
      <c r="A127" s="6" t="s">
        <v>46</v>
      </c>
      <c r="B127" s="18">
        <f>+'Vigilante 12X36 Diurno Arm'!$D$29</f>
        <v>0</v>
      </c>
      <c r="C127" s="52"/>
    </row>
    <row r="128" spans="1:3" x14ac:dyDescent="0.2">
      <c r="A128" s="111" t="s">
        <v>45</v>
      </c>
      <c r="B128" s="18">
        <f>+'Vigilante 12X36 Diurno Arm'!$D$31</f>
        <v>0</v>
      </c>
      <c r="C128" s="52"/>
    </row>
    <row r="129" spans="1:3" x14ac:dyDescent="0.2">
      <c r="A129" s="111" t="s">
        <v>44</v>
      </c>
      <c r="B129" s="18">
        <f>+'Vigilante 12X36 Diurno Arm'!$D$32</f>
        <v>0</v>
      </c>
      <c r="C129" s="52"/>
    </row>
    <row r="130" spans="1:3" x14ac:dyDescent="0.2">
      <c r="A130" s="104" t="s">
        <v>248</v>
      </c>
      <c r="B130" s="105">
        <f>SUM(B126:B129)</f>
        <v>0</v>
      </c>
      <c r="C130" s="52"/>
    </row>
    <row r="131" spans="1:3" x14ac:dyDescent="0.2">
      <c r="A131" s="25" t="s">
        <v>249</v>
      </c>
      <c r="B131" s="17">
        <v>0.4</v>
      </c>
      <c r="C131" s="52"/>
    </row>
    <row r="132" spans="1:3" x14ac:dyDescent="0.2">
      <c r="A132" s="25" t="s">
        <v>250</v>
      </c>
      <c r="B132" s="17">
        <f>+'Vigilante 12X36 Diurno Arm'!$C$44</f>
        <v>0.08</v>
      </c>
      <c r="C132" s="52"/>
    </row>
    <row r="133" spans="1:3" x14ac:dyDescent="0.2">
      <c r="A133" s="510" t="s">
        <v>252</v>
      </c>
      <c r="B133" s="510"/>
      <c r="C133" s="73">
        <f>ROUND(+B130*B131*B132*B125,2)</f>
        <v>0</v>
      </c>
    </row>
    <row r="134" spans="1:3" x14ac:dyDescent="0.2">
      <c r="A134" s="25" t="s">
        <v>253</v>
      </c>
      <c r="B134" s="17">
        <v>0.1</v>
      </c>
      <c r="C134" s="52"/>
    </row>
    <row r="135" spans="1:3" x14ac:dyDescent="0.2">
      <c r="A135" s="510" t="s">
        <v>254</v>
      </c>
      <c r="B135" s="510"/>
      <c r="C135" s="112">
        <f>ROUND(B134*B132*B130*B125,2)</f>
        <v>0</v>
      </c>
    </row>
    <row r="136" spans="1:3" x14ac:dyDescent="0.2">
      <c r="A136" s="504" t="s">
        <v>255</v>
      </c>
      <c r="B136" s="505"/>
      <c r="C136" s="71">
        <f>+C135+C133</f>
        <v>0</v>
      </c>
    </row>
    <row r="138" spans="1:3" x14ac:dyDescent="0.2">
      <c r="A138" s="459" t="s">
        <v>256</v>
      </c>
      <c r="B138" s="459"/>
      <c r="C138" s="459"/>
    </row>
    <row r="139" spans="1:3" x14ac:dyDescent="0.2">
      <c r="A139" s="6" t="s">
        <v>242</v>
      </c>
      <c r="B139" s="18">
        <f>+B7</f>
        <v>0</v>
      </c>
      <c r="C139" s="52"/>
    </row>
    <row r="140" spans="1:3" x14ac:dyDescent="0.2">
      <c r="A140" s="6" t="s">
        <v>257</v>
      </c>
      <c r="B140" s="113">
        <v>30</v>
      </c>
      <c r="C140" s="52"/>
    </row>
    <row r="141" spans="1:3" x14ac:dyDescent="0.2">
      <c r="A141" s="6" t="s">
        <v>243</v>
      </c>
      <c r="B141" s="6">
        <v>12</v>
      </c>
      <c r="C141" s="52"/>
    </row>
    <row r="142" spans="1:3" x14ac:dyDescent="0.2">
      <c r="A142" s="6" t="s">
        <v>258</v>
      </c>
      <c r="B142" s="6">
        <v>7</v>
      </c>
      <c r="C142" s="52"/>
    </row>
    <row r="143" spans="1:3" x14ac:dyDescent="0.2">
      <c r="A143" s="116" t="s">
        <v>294</v>
      </c>
      <c r="B143" s="114"/>
      <c r="C143" s="52"/>
    </row>
    <row r="144" spans="1:3" x14ac:dyDescent="0.2">
      <c r="A144" s="494" t="s">
        <v>369</v>
      </c>
      <c r="B144" s="494"/>
      <c r="C144" s="45">
        <f>+ROUND(((B139/B140/B141)*B142)*B143,2)</f>
        <v>0</v>
      </c>
    </row>
    <row r="146" spans="1:3" ht="24.75" customHeight="1" x14ac:dyDescent="0.2">
      <c r="A146" s="507" t="s">
        <v>259</v>
      </c>
      <c r="B146" s="508"/>
      <c r="C146" s="509"/>
    </row>
    <row r="147" spans="1:3" x14ac:dyDescent="0.2">
      <c r="A147" s="115" t="s">
        <v>260</v>
      </c>
      <c r="B147" s="114">
        <f>+B143</f>
        <v>0</v>
      </c>
      <c r="C147" s="52"/>
    </row>
    <row r="148" spans="1:3" x14ac:dyDescent="0.2">
      <c r="A148" s="6" t="s">
        <v>247</v>
      </c>
      <c r="B148" s="18">
        <f>+'Vigilante 12X36 Diurno Arm'!$D$23</f>
        <v>0</v>
      </c>
      <c r="C148" s="52"/>
    </row>
    <row r="149" spans="1:3" x14ac:dyDescent="0.2">
      <c r="A149" s="6" t="s">
        <v>46</v>
      </c>
      <c r="B149" s="18">
        <f>+'Vigilante 12X36 Diurno Arm'!$D$29</f>
        <v>0</v>
      </c>
      <c r="C149" s="52"/>
    </row>
    <row r="150" spans="1:3" x14ac:dyDescent="0.2">
      <c r="A150" s="111" t="s">
        <v>45</v>
      </c>
      <c r="B150" s="18">
        <f>+'Vigilante 12X36 Diurno Arm'!$D$31</f>
        <v>0</v>
      </c>
      <c r="C150" s="52"/>
    </row>
    <row r="151" spans="1:3" x14ac:dyDescent="0.2">
      <c r="A151" s="111" t="s">
        <v>44</v>
      </c>
      <c r="B151" s="18">
        <f>+'Vigilante 12X36 Diurno Arm'!$D$32</f>
        <v>0</v>
      </c>
      <c r="C151" s="52"/>
    </row>
    <row r="152" spans="1:3" x14ac:dyDescent="0.2">
      <c r="A152" s="104" t="s">
        <v>248</v>
      </c>
      <c r="B152" s="105">
        <f>SUM(B148:B151)</f>
        <v>0</v>
      </c>
      <c r="C152" s="52"/>
    </row>
    <row r="153" spans="1:3" x14ac:dyDescent="0.2">
      <c r="A153" s="25" t="s">
        <v>249</v>
      </c>
      <c r="B153" s="17">
        <v>0.4</v>
      </c>
      <c r="C153" s="52"/>
    </row>
    <row r="154" spans="1:3" x14ac:dyDescent="0.2">
      <c r="A154" s="25" t="s">
        <v>250</v>
      </c>
      <c r="B154" s="17">
        <f>+'Vigilante 12X36 Diurno Arm'!$C$44</f>
        <v>0.08</v>
      </c>
      <c r="C154" s="52"/>
    </row>
    <row r="155" spans="1:3" x14ac:dyDescent="0.2">
      <c r="A155" s="510" t="s">
        <v>252</v>
      </c>
      <c r="B155" s="510"/>
      <c r="C155" s="73">
        <f>ROUND(+B152*B153*B154*B147,2)</f>
        <v>0</v>
      </c>
    </row>
    <row r="156" spans="1:3" x14ac:dyDescent="0.2">
      <c r="A156" s="25" t="s">
        <v>253</v>
      </c>
      <c r="B156" s="17">
        <v>0.1</v>
      </c>
      <c r="C156" s="52"/>
    </row>
    <row r="157" spans="1:3" x14ac:dyDescent="0.2">
      <c r="A157" s="510" t="s">
        <v>254</v>
      </c>
      <c r="B157" s="510"/>
      <c r="C157" s="112">
        <f>ROUND(B156*B154*B152*B147,2)</f>
        <v>0</v>
      </c>
    </row>
    <row r="158" spans="1:3" x14ac:dyDescent="0.2">
      <c r="A158" s="504" t="s">
        <v>385</v>
      </c>
      <c r="B158" s="505"/>
      <c r="C158" s="71">
        <f>+C157+C155</f>
        <v>0</v>
      </c>
    </row>
    <row r="160" spans="1:3" x14ac:dyDescent="0.2">
      <c r="A160" s="507" t="s">
        <v>262</v>
      </c>
      <c r="B160" s="508"/>
      <c r="C160" s="509"/>
    </row>
    <row r="161" spans="1:3" ht="12.75" customHeight="1" x14ac:dyDescent="0.2">
      <c r="A161" s="511" t="s">
        <v>358</v>
      </c>
      <c r="B161" s="511"/>
      <c r="C161" s="511"/>
    </row>
    <row r="162" spans="1:3" x14ac:dyDescent="0.2">
      <c r="A162" s="511"/>
      <c r="B162" s="511"/>
      <c r="C162" s="511"/>
    </row>
    <row r="163" spans="1:3" x14ac:dyDescent="0.2">
      <c r="A163" s="511"/>
      <c r="B163" s="511"/>
      <c r="C163" s="511"/>
    </row>
    <row r="164" spans="1:3" x14ac:dyDescent="0.2">
      <c r="A164" s="511"/>
      <c r="B164" s="511"/>
      <c r="C164" s="511"/>
    </row>
    <row r="165" spans="1:3" x14ac:dyDescent="0.2">
      <c r="A165" s="119"/>
      <c r="B165" s="119"/>
      <c r="C165" s="119"/>
    </row>
    <row r="166" spans="1:3" x14ac:dyDescent="0.2">
      <c r="A166" s="512" t="s">
        <v>261</v>
      </c>
      <c r="B166" s="512"/>
      <c r="C166" s="512"/>
    </row>
    <row r="167" spans="1:3" x14ac:dyDescent="0.2">
      <c r="A167" s="6" t="s">
        <v>263</v>
      </c>
      <c r="B167" s="18">
        <f>+$B$7</f>
        <v>0</v>
      </c>
      <c r="C167" s="52"/>
    </row>
    <row r="168" spans="1:3" x14ac:dyDescent="0.2">
      <c r="A168" s="6" t="s">
        <v>206</v>
      </c>
      <c r="B168" s="6">
        <v>30</v>
      </c>
      <c r="C168" s="52"/>
    </row>
    <row r="169" spans="1:3" x14ac:dyDescent="0.2">
      <c r="A169" s="6" t="s">
        <v>264</v>
      </c>
      <c r="B169" s="6">
        <v>12</v>
      </c>
      <c r="C169" s="52"/>
    </row>
    <row r="170" spans="1:3" x14ac:dyDescent="0.2">
      <c r="A170" s="116" t="s">
        <v>265</v>
      </c>
      <c r="B170" s="116"/>
      <c r="C170" s="52"/>
    </row>
    <row r="171" spans="1:3" x14ac:dyDescent="0.2">
      <c r="A171" s="494" t="s">
        <v>266</v>
      </c>
      <c r="B171" s="494"/>
      <c r="C171" s="24">
        <f>+ROUND((B167/B168/B169)*B170,2)</f>
        <v>0</v>
      </c>
    </row>
    <row r="173" spans="1:3" x14ac:dyDescent="0.2">
      <c r="A173" s="512" t="s">
        <v>269</v>
      </c>
      <c r="B173" s="512"/>
      <c r="C173" s="512"/>
    </row>
    <row r="174" spans="1:3" x14ac:dyDescent="0.2">
      <c r="A174" s="6" t="s">
        <v>263</v>
      </c>
      <c r="B174" s="18">
        <f>+$B$7</f>
        <v>0</v>
      </c>
      <c r="C174" s="52"/>
    </row>
    <row r="175" spans="1:3" x14ac:dyDescent="0.2">
      <c r="A175" s="6" t="s">
        <v>206</v>
      </c>
      <c r="B175" s="6">
        <v>30</v>
      </c>
      <c r="C175" s="52"/>
    </row>
    <row r="176" spans="1:3" x14ac:dyDescent="0.2">
      <c r="A176" s="6" t="s">
        <v>264</v>
      </c>
      <c r="B176" s="6">
        <v>12</v>
      </c>
      <c r="C176" s="52"/>
    </row>
    <row r="177" spans="1:3" x14ac:dyDescent="0.2">
      <c r="A177" s="34" t="s">
        <v>267</v>
      </c>
      <c r="B177" s="6">
        <v>5</v>
      </c>
      <c r="C177" s="52"/>
    </row>
    <row r="178" spans="1:3" x14ac:dyDescent="0.2">
      <c r="A178" s="116" t="s">
        <v>268</v>
      </c>
      <c r="B178" s="114"/>
      <c r="C178" s="52"/>
    </row>
    <row r="179" spans="1:3" x14ac:dyDescent="0.2">
      <c r="A179" s="116" t="s">
        <v>270</v>
      </c>
      <c r="B179" s="114"/>
      <c r="C179" s="52"/>
    </row>
    <row r="180" spans="1:3" x14ac:dyDescent="0.2">
      <c r="A180" s="494" t="s">
        <v>271</v>
      </c>
      <c r="B180" s="494"/>
      <c r="C180" s="45">
        <f>ROUND(+B174/B175/B176*B177*B178*B179,2)</f>
        <v>0</v>
      </c>
    </row>
    <row r="182" spans="1:3" x14ac:dyDescent="0.2">
      <c r="A182" s="512" t="s">
        <v>272</v>
      </c>
      <c r="B182" s="512"/>
      <c r="C182" s="512"/>
    </row>
    <row r="183" spans="1:3" x14ac:dyDescent="0.2">
      <c r="A183" s="6" t="s">
        <v>263</v>
      </c>
      <c r="B183" s="18">
        <f>+$B$7</f>
        <v>0</v>
      </c>
      <c r="C183" s="52"/>
    </row>
    <row r="184" spans="1:3" x14ac:dyDescent="0.2">
      <c r="A184" s="6" t="s">
        <v>206</v>
      </c>
      <c r="B184" s="6">
        <v>30</v>
      </c>
      <c r="C184" s="52"/>
    </row>
    <row r="185" spans="1:3" x14ac:dyDescent="0.2">
      <c r="A185" s="6" t="s">
        <v>264</v>
      </c>
      <c r="B185" s="6">
        <v>12</v>
      </c>
      <c r="C185" s="52"/>
    </row>
    <row r="186" spans="1:3" x14ac:dyDescent="0.2">
      <c r="A186" s="34" t="s">
        <v>273</v>
      </c>
      <c r="B186" s="6">
        <v>15</v>
      </c>
      <c r="C186" s="52"/>
    </row>
    <row r="187" spans="1:3" x14ac:dyDescent="0.2">
      <c r="A187" s="116" t="s">
        <v>274</v>
      </c>
      <c r="B187" s="114"/>
      <c r="C187" s="52"/>
    </row>
    <row r="188" spans="1:3" x14ac:dyDescent="0.2">
      <c r="A188" s="494" t="s">
        <v>370</v>
      </c>
      <c r="B188" s="494"/>
      <c r="C188" s="45">
        <f>ROUND(+B183/B184/B185*B186*B187,2)</f>
        <v>0</v>
      </c>
    </row>
    <row r="190" spans="1:3" x14ac:dyDescent="0.2">
      <c r="A190" s="512" t="s">
        <v>275</v>
      </c>
      <c r="B190" s="512"/>
      <c r="C190" s="512"/>
    </row>
    <row r="191" spans="1:3" x14ac:dyDescent="0.2">
      <c r="A191" s="6" t="s">
        <v>263</v>
      </c>
      <c r="B191" s="18">
        <f>+$B$7</f>
        <v>0</v>
      </c>
      <c r="C191" s="52"/>
    </row>
    <row r="192" spans="1:3" x14ac:dyDescent="0.2">
      <c r="A192" s="6" t="s">
        <v>206</v>
      </c>
      <c r="B192" s="6">
        <v>30</v>
      </c>
      <c r="C192" s="52"/>
    </row>
    <row r="193" spans="1:3" x14ac:dyDescent="0.2">
      <c r="A193" s="6" t="s">
        <v>264</v>
      </c>
      <c r="B193" s="6">
        <v>12</v>
      </c>
      <c r="C193" s="52"/>
    </row>
    <row r="194" spans="1:3" x14ac:dyDescent="0.2">
      <c r="A194" s="34" t="s">
        <v>273</v>
      </c>
      <c r="B194" s="6">
        <v>5</v>
      </c>
      <c r="C194" s="52"/>
    </row>
    <row r="195" spans="1:3" x14ac:dyDescent="0.2">
      <c r="A195" s="116" t="s">
        <v>276</v>
      </c>
      <c r="B195" s="114"/>
      <c r="C195" s="52"/>
    </row>
    <row r="196" spans="1:3" x14ac:dyDescent="0.2">
      <c r="A196" s="494" t="s">
        <v>371</v>
      </c>
      <c r="B196" s="494"/>
      <c r="C196" s="45">
        <f>ROUND(+B191/B192/B193*B194*B195,2)</f>
        <v>0</v>
      </c>
    </row>
    <row r="198" spans="1:3" x14ac:dyDescent="0.2">
      <c r="A198" s="459" t="s">
        <v>108</v>
      </c>
      <c r="B198" s="459"/>
      <c r="C198" s="459"/>
    </row>
    <row r="199" spans="1:3" x14ac:dyDescent="0.2">
      <c r="A199" s="83" t="s">
        <v>23</v>
      </c>
      <c r="B199" s="87"/>
      <c r="C199" s="18">
        <f>+'Vigilante 12X36 Diurno Arm'!D23-'Vigilante 12X36 Diurno Arm'!D21</f>
        <v>0</v>
      </c>
    </row>
    <row r="200" spans="1:3" x14ac:dyDescent="0.2">
      <c r="A200" s="83" t="s">
        <v>68</v>
      </c>
      <c r="B200" s="87"/>
      <c r="C200" s="18">
        <f>+'Vigilante 12X36 Diurno Arm'!D68</f>
        <v>0</v>
      </c>
    </row>
    <row r="201" spans="1:3" x14ac:dyDescent="0.2">
      <c r="A201" s="83" t="s">
        <v>153</v>
      </c>
      <c r="B201" s="87"/>
      <c r="C201" s="18">
        <f>+'Vigilante 12X36 Diurno Arm'!D116</f>
        <v>0</v>
      </c>
    </row>
    <row r="202" spans="1:3" x14ac:dyDescent="0.2">
      <c r="A202" s="83" t="s">
        <v>86</v>
      </c>
      <c r="B202" s="87"/>
      <c r="C202" s="18">
        <f>+'Vigilante 12X36 Diurno Arm'!D107</f>
        <v>0</v>
      </c>
    </row>
    <row r="203" spans="1:3" x14ac:dyDescent="0.2">
      <c r="A203" s="83" t="s">
        <v>92</v>
      </c>
      <c r="B203" s="87"/>
      <c r="C203" s="18">
        <f>+'Vigilante 12X36 Diurno Arm'!D108</f>
        <v>0</v>
      </c>
    </row>
    <row r="204" spans="1:3" x14ac:dyDescent="0.2">
      <c r="A204" s="83" t="s">
        <v>70</v>
      </c>
      <c r="B204" s="87"/>
      <c r="C204" s="18">
        <f>+'Vigilante 12X36 Diurno Arm'!D79</f>
        <v>0</v>
      </c>
    </row>
    <row r="205" spans="1:3" x14ac:dyDescent="0.2">
      <c r="A205" s="83" t="s">
        <v>193</v>
      </c>
      <c r="B205" s="87"/>
      <c r="C205" s="18">
        <f>SUM(C199:C204)</f>
        <v>0</v>
      </c>
    </row>
    <row r="206" spans="1:3" x14ac:dyDescent="0.2">
      <c r="A206" s="83" t="s">
        <v>102</v>
      </c>
      <c r="B206" s="84">
        <v>220</v>
      </c>
      <c r="C206" s="85"/>
    </row>
    <row r="207" spans="1:3" x14ac:dyDescent="0.2">
      <c r="A207" s="83" t="s">
        <v>103</v>
      </c>
      <c r="B207" s="87"/>
      <c r="C207" s="18">
        <f>ROUND(C205/B206,2)</f>
        <v>0</v>
      </c>
    </row>
    <row r="208" spans="1:3" x14ac:dyDescent="0.2">
      <c r="A208" s="6" t="s">
        <v>104</v>
      </c>
      <c r="B208" s="51">
        <f>(365.25/12/2)/(7/7)</f>
        <v>15.21875</v>
      </c>
      <c r="C208" s="58"/>
    </row>
    <row r="209" spans="1:3" x14ac:dyDescent="0.2">
      <c r="A209" s="504" t="s">
        <v>106</v>
      </c>
      <c r="B209" s="505"/>
      <c r="C209" s="71">
        <f>ROUND(+B208*C207,2)</f>
        <v>0</v>
      </c>
    </row>
    <row r="211" spans="1:3" x14ac:dyDescent="0.2">
      <c r="A211" s="512" t="s">
        <v>277</v>
      </c>
      <c r="B211" s="512"/>
      <c r="C211" s="512"/>
    </row>
    <row r="212" spans="1:3" x14ac:dyDescent="0.2">
      <c r="A212" s="513" t="s">
        <v>282</v>
      </c>
      <c r="B212" s="514"/>
      <c r="C212" s="515"/>
    </row>
    <row r="213" spans="1:3" x14ac:dyDescent="0.2">
      <c r="A213" s="6" t="s">
        <v>263</v>
      </c>
      <c r="B213" s="18">
        <f>+$B$7</f>
        <v>0</v>
      </c>
      <c r="C213" s="52"/>
    </row>
    <row r="214" spans="1:3" x14ac:dyDescent="0.2">
      <c r="A214" s="6" t="s">
        <v>281</v>
      </c>
      <c r="B214" s="18">
        <f>+B213*(1/3)</f>
        <v>0</v>
      </c>
      <c r="C214" s="52"/>
    </row>
    <row r="215" spans="1:3" x14ac:dyDescent="0.2">
      <c r="A215" s="104" t="s">
        <v>248</v>
      </c>
      <c r="B215" s="105">
        <f>SUM(B213:B214)</f>
        <v>0</v>
      </c>
      <c r="C215" s="52"/>
    </row>
    <row r="216" spans="1:3" x14ac:dyDescent="0.2">
      <c r="A216" s="6" t="s">
        <v>278</v>
      </c>
      <c r="B216" s="6">
        <v>4</v>
      </c>
      <c r="C216" s="52"/>
    </row>
    <row r="217" spans="1:3" x14ac:dyDescent="0.2">
      <c r="A217" s="6" t="s">
        <v>264</v>
      </c>
      <c r="B217" s="6">
        <v>12</v>
      </c>
      <c r="C217" s="52"/>
    </row>
    <row r="218" spans="1:3" x14ac:dyDescent="0.2">
      <c r="A218" s="116" t="s">
        <v>279</v>
      </c>
      <c r="B218" s="114"/>
      <c r="C218" s="52"/>
    </row>
    <row r="219" spans="1:3" x14ac:dyDescent="0.2">
      <c r="A219" s="116" t="s">
        <v>280</v>
      </c>
      <c r="B219" s="114"/>
      <c r="C219" s="52"/>
    </row>
    <row r="220" spans="1:3" x14ac:dyDescent="0.2">
      <c r="A220" s="494" t="s">
        <v>283</v>
      </c>
      <c r="B220" s="494"/>
      <c r="C220" s="45">
        <f>ROUND((((+B215*(B216/B217)/B217)*B218)*B219),2)</f>
        <v>0</v>
      </c>
    </row>
    <row r="221" spans="1:3" x14ac:dyDescent="0.2">
      <c r="A221" s="494" t="s">
        <v>284</v>
      </c>
      <c r="B221" s="494"/>
      <c r="C221" s="494"/>
    </row>
    <row r="222" spans="1:3" x14ac:dyDescent="0.2">
      <c r="A222" s="6" t="s">
        <v>263</v>
      </c>
      <c r="B222" s="18">
        <f>+'Vigilante 12X36 Diurno Arm'!D23</f>
        <v>0</v>
      </c>
      <c r="C222" s="52"/>
    </row>
    <row r="223" spans="1:3" x14ac:dyDescent="0.2">
      <c r="A223" s="6" t="s">
        <v>46</v>
      </c>
      <c r="B223" s="18">
        <f>+'Vigilante 12X36 Diurno Arm'!D29</f>
        <v>0</v>
      </c>
      <c r="C223" s="52"/>
    </row>
    <row r="224" spans="1:3" x14ac:dyDescent="0.2">
      <c r="A224" s="104" t="s">
        <v>248</v>
      </c>
      <c r="B224" s="105">
        <f>SUM(B222:B223)</f>
        <v>0</v>
      </c>
      <c r="C224" s="52"/>
    </row>
    <row r="225" spans="1:3" x14ac:dyDescent="0.2">
      <c r="A225" s="6" t="s">
        <v>278</v>
      </c>
      <c r="B225" s="6">
        <v>4</v>
      </c>
      <c r="C225" s="52"/>
    </row>
    <row r="226" spans="1:3" x14ac:dyDescent="0.2">
      <c r="A226" s="6" t="s">
        <v>264</v>
      </c>
      <c r="B226" s="6">
        <v>12</v>
      </c>
      <c r="C226" s="52"/>
    </row>
    <row r="227" spans="1:3" x14ac:dyDescent="0.2">
      <c r="A227" s="116" t="s">
        <v>279</v>
      </c>
      <c r="B227" s="114"/>
      <c r="C227" s="52"/>
    </row>
    <row r="228" spans="1:3" x14ac:dyDescent="0.2">
      <c r="A228" s="116" t="s">
        <v>280</v>
      </c>
      <c r="B228" s="114"/>
      <c r="C228" s="52"/>
    </row>
    <row r="229" spans="1:3" x14ac:dyDescent="0.2">
      <c r="A229" s="34" t="s">
        <v>285</v>
      </c>
      <c r="B229" s="17">
        <f>+'Vigilante 12X36 Diurno Arm'!C45</f>
        <v>0.36800000000000005</v>
      </c>
      <c r="C229" s="52"/>
    </row>
    <row r="230" spans="1:3" x14ac:dyDescent="0.2">
      <c r="A230" s="494" t="s">
        <v>286</v>
      </c>
      <c r="B230" s="494"/>
      <c r="C230" s="71">
        <f>ROUND((((B224*(B225/B226)*B227)*B228)*B229),2)</f>
        <v>0</v>
      </c>
    </row>
  </sheetData>
  <mergeCells count="44">
    <mergeCell ref="A211:C211"/>
    <mergeCell ref="A220:B220"/>
    <mergeCell ref="A212:C212"/>
    <mergeCell ref="A180:B180"/>
    <mergeCell ref="A182:C182"/>
    <mergeCell ref="A188:B188"/>
    <mergeCell ref="A190:C190"/>
    <mergeCell ref="A196:B196"/>
    <mergeCell ref="A160:C160"/>
    <mergeCell ref="A161:C164"/>
    <mergeCell ref="A166:C166"/>
    <mergeCell ref="A171:B171"/>
    <mergeCell ref="A173:C173"/>
    <mergeCell ref="A144:B144"/>
    <mergeCell ref="A146:C146"/>
    <mergeCell ref="A155:B155"/>
    <mergeCell ref="A157:B157"/>
    <mergeCell ref="A158:B158"/>
    <mergeCell ref="A124:C124"/>
    <mergeCell ref="A135:B135"/>
    <mergeCell ref="A133:B133"/>
    <mergeCell ref="A136:B136"/>
    <mergeCell ref="A138:C138"/>
    <mergeCell ref="A107:B107"/>
    <mergeCell ref="A109:C109"/>
    <mergeCell ref="A116:B116"/>
    <mergeCell ref="A118:C118"/>
    <mergeCell ref="A122:B122"/>
    <mergeCell ref="A221:C221"/>
    <mergeCell ref="A230:B230"/>
    <mergeCell ref="A1:C1"/>
    <mergeCell ref="A9:C9"/>
    <mergeCell ref="A25:B25"/>
    <mergeCell ref="A27:C27"/>
    <mergeCell ref="A38:C38"/>
    <mergeCell ref="A51:B51"/>
    <mergeCell ref="A209:B209"/>
    <mergeCell ref="A53:C53"/>
    <mergeCell ref="A66:B66"/>
    <mergeCell ref="A79:C79"/>
    <mergeCell ref="A98:B98"/>
    <mergeCell ref="A198:C198"/>
    <mergeCell ref="A68:C68"/>
    <mergeCell ref="A100:C100"/>
  </mergeCells>
  <pageMargins left="1.01" right="0.11" top="0.17" bottom="0.53" header="0.31496062992125984" footer="0.31496062992125984"/>
  <pageSetup paperSize="9" scale="90" orientation="portrait" r:id="rId1"/>
  <headerFooter>
    <oddFooter>&amp;A</oddFooter>
  </headerFooter>
  <rowBreaks count="2" manualBreakCount="2">
    <brk id="123" max="16383" man="1"/>
    <brk id="189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theme="6" tint="-0.249977111117893"/>
  </sheetPr>
  <dimension ref="A1:F184"/>
  <sheetViews>
    <sheetView topLeftCell="A67" workbookViewId="0">
      <selection activeCell="A17" sqref="A17"/>
    </sheetView>
  </sheetViews>
  <sheetFormatPr defaultRowHeight="12.75" x14ac:dyDescent="0.2"/>
  <cols>
    <col min="1" max="1" width="5.625" customWidth="1"/>
    <col min="2" max="2" width="50.5" customWidth="1"/>
    <col min="3" max="3" width="9.375" bestFit="1" customWidth="1"/>
    <col min="4" max="4" width="15.625" customWidth="1"/>
    <col min="5" max="5" width="11.75" bestFit="1" customWidth="1"/>
  </cols>
  <sheetData>
    <row r="1" spans="1:6" x14ac:dyDescent="0.2">
      <c r="A1" s="477" t="s">
        <v>211</v>
      </c>
      <c r="B1" s="478"/>
      <c r="C1" s="478"/>
      <c r="D1" s="479"/>
      <c r="E1" s="3"/>
      <c r="F1" s="3"/>
    </row>
    <row r="3" spans="1:6" x14ac:dyDescent="0.2">
      <c r="A3" s="460" t="s">
        <v>16</v>
      </c>
      <c r="B3" s="461"/>
      <c r="C3" s="461"/>
      <c r="D3" s="462"/>
    </row>
    <row r="4" spans="1:6" s="1" customFormat="1" ht="24.75" customHeight="1" x14ac:dyDescent="0.2">
      <c r="A4" s="164">
        <v>1</v>
      </c>
      <c r="B4" s="165" t="s">
        <v>17</v>
      </c>
      <c r="C4" s="516" t="s">
        <v>355</v>
      </c>
      <c r="D4" s="517"/>
    </row>
    <row r="5" spans="1:6" s="1" customFormat="1" x14ac:dyDescent="0.2">
      <c r="A5" s="164">
        <v>2</v>
      </c>
      <c r="B5" s="165" t="s">
        <v>18</v>
      </c>
      <c r="C5" s="518" t="s">
        <v>295</v>
      </c>
      <c r="D5" s="519"/>
    </row>
    <row r="6" spans="1:6" s="1" customFormat="1" x14ac:dyDescent="0.2">
      <c r="A6" s="164">
        <v>3</v>
      </c>
      <c r="B6" s="165" t="s">
        <v>19</v>
      </c>
      <c r="C6" s="484"/>
      <c r="D6" s="484"/>
    </row>
    <row r="7" spans="1:6" s="1" customFormat="1" ht="42.75" customHeight="1" x14ac:dyDescent="0.2">
      <c r="A7" s="164">
        <v>4</v>
      </c>
      <c r="B7" s="165" t="s">
        <v>21</v>
      </c>
      <c r="C7" s="520" t="s">
        <v>296</v>
      </c>
      <c r="D7" s="521"/>
    </row>
    <row r="8" spans="1:6" s="1" customFormat="1" x14ac:dyDescent="0.2">
      <c r="A8" s="164">
        <v>5</v>
      </c>
      <c r="B8" s="165" t="s">
        <v>20</v>
      </c>
      <c r="C8" s="522">
        <v>43160</v>
      </c>
      <c r="D8" s="523"/>
    </row>
    <row r="9" spans="1:6" x14ac:dyDescent="0.2">
      <c r="D9" s="202"/>
    </row>
    <row r="10" spans="1:6" x14ac:dyDescent="0.2">
      <c r="A10" s="455" t="s">
        <v>22</v>
      </c>
      <c r="B10" s="455"/>
      <c r="C10" s="455"/>
      <c r="D10" s="455"/>
    </row>
    <row r="11" spans="1:6" x14ac:dyDescent="0.2">
      <c r="A11" s="132" t="s">
        <v>297</v>
      </c>
      <c r="B11" s="94" t="s">
        <v>23</v>
      </c>
      <c r="C11" s="122" t="s">
        <v>50</v>
      </c>
      <c r="D11" s="5" t="s">
        <v>24</v>
      </c>
    </row>
    <row r="12" spans="1:6" x14ac:dyDescent="0.2">
      <c r="A12" s="121" t="s">
        <v>3</v>
      </c>
      <c r="B12" s="388" t="s">
        <v>30</v>
      </c>
      <c r="C12" s="388"/>
      <c r="D12" s="7">
        <f>+C6</f>
        <v>0</v>
      </c>
    </row>
    <row r="13" spans="1:6" x14ac:dyDescent="0.2">
      <c r="A13" s="121" t="s">
        <v>4</v>
      </c>
      <c r="B13" s="89" t="s">
        <v>31</v>
      </c>
      <c r="C13" s="95">
        <v>0.3</v>
      </c>
      <c r="D13" s="7">
        <f>+C13*D12</f>
        <v>0</v>
      </c>
      <c r="E13" s="88"/>
    </row>
    <row r="14" spans="1:6" x14ac:dyDescent="0.2">
      <c r="A14" s="121" t="s">
        <v>5</v>
      </c>
      <c r="B14" s="89" t="s">
        <v>32</v>
      </c>
      <c r="C14" s="95"/>
      <c r="D14" s="7"/>
    </row>
    <row r="15" spans="1:6" x14ac:dyDescent="0.2">
      <c r="A15" s="121" t="s">
        <v>6</v>
      </c>
      <c r="B15" s="388" t="s">
        <v>33</v>
      </c>
      <c r="C15" s="388"/>
      <c r="D15" s="7">
        <f>+'Calculo 12 36 Not Arm'!C66</f>
        <v>0</v>
      </c>
    </row>
    <row r="16" spans="1:6" x14ac:dyDescent="0.2">
      <c r="A16" s="121" t="s">
        <v>25</v>
      </c>
      <c r="B16" s="388" t="s">
        <v>34</v>
      </c>
      <c r="C16" s="388"/>
      <c r="D16" s="7">
        <f>+'Calculo 12 36 Not Arm'!C98</f>
        <v>0</v>
      </c>
    </row>
    <row r="17" spans="1:6" x14ac:dyDescent="0.2">
      <c r="A17" s="121" t="s">
        <v>26</v>
      </c>
      <c r="B17" s="468" t="s">
        <v>231</v>
      </c>
      <c r="C17" s="469"/>
      <c r="D17" s="7"/>
    </row>
    <row r="18" spans="1:6" x14ac:dyDescent="0.2">
      <c r="A18" s="121" t="s">
        <v>27</v>
      </c>
      <c r="B18" s="388" t="s">
        <v>35</v>
      </c>
      <c r="C18" s="388"/>
      <c r="D18" s="7"/>
    </row>
    <row r="19" spans="1:6" x14ac:dyDescent="0.2">
      <c r="A19" s="121" t="s">
        <v>28</v>
      </c>
      <c r="B19" s="468" t="s">
        <v>195</v>
      </c>
      <c r="C19" s="469"/>
      <c r="D19" s="93"/>
    </row>
    <row r="20" spans="1:6" x14ac:dyDescent="0.2">
      <c r="A20" s="121" t="s">
        <v>64</v>
      </c>
      <c r="B20" s="89" t="s">
        <v>65</v>
      </c>
      <c r="C20" s="95"/>
      <c r="D20" s="7"/>
    </row>
    <row r="21" spans="1:6" x14ac:dyDescent="0.2">
      <c r="A21" s="121" t="s">
        <v>194</v>
      </c>
      <c r="B21" s="388" t="s">
        <v>95</v>
      </c>
      <c r="C21" s="388"/>
      <c r="D21" s="8"/>
      <c r="F21" s="98"/>
    </row>
    <row r="22" spans="1:6" x14ac:dyDescent="0.2">
      <c r="A22" s="121" t="s">
        <v>196</v>
      </c>
      <c r="B22" s="388" t="s">
        <v>36</v>
      </c>
      <c r="C22" s="388"/>
      <c r="D22" s="8"/>
    </row>
    <row r="23" spans="1:6" x14ac:dyDescent="0.2">
      <c r="A23" s="474" t="s">
        <v>29</v>
      </c>
      <c r="B23" s="474"/>
      <c r="C23" s="474"/>
      <c r="D23" s="9">
        <f>SUM(D12:D22)</f>
        <v>0</v>
      </c>
    </row>
    <row r="25" spans="1:6" x14ac:dyDescent="0.2">
      <c r="A25" s="455" t="s">
        <v>37</v>
      </c>
      <c r="B25" s="455"/>
      <c r="C25" s="455"/>
      <c r="D25" s="455"/>
    </row>
    <row r="27" spans="1:6" x14ac:dyDescent="0.2">
      <c r="A27" s="455" t="s">
        <v>38</v>
      </c>
      <c r="B27" s="455"/>
      <c r="C27" s="455"/>
      <c r="D27" s="455"/>
    </row>
    <row r="28" spans="1:6" x14ac:dyDescent="0.2">
      <c r="A28" s="19" t="s">
        <v>39</v>
      </c>
      <c r="B28" s="14" t="s">
        <v>40</v>
      </c>
      <c r="C28" s="22" t="s">
        <v>50</v>
      </c>
      <c r="D28" s="20" t="s">
        <v>24</v>
      </c>
    </row>
    <row r="29" spans="1:6" x14ac:dyDescent="0.2">
      <c r="A29" s="121" t="s">
        <v>3</v>
      </c>
      <c r="B29" s="6" t="s">
        <v>46</v>
      </c>
      <c r="C29" s="29" t="e">
        <f>ROUND(+D29/$D$23,4)</f>
        <v>#DIV/0!</v>
      </c>
      <c r="D29" s="8">
        <f>ROUND(+D23/12,2)</f>
        <v>0</v>
      </c>
    </row>
    <row r="30" spans="1:6" x14ac:dyDescent="0.2">
      <c r="A30" s="28" t="s">
        <v>4</v>
      </c>
      <c r="B30" s="37" t="s">
        <v>43</v>
      </c>
      <c r="C30" s="38" t="e">
        <f>ROUND(+D30/$D$23,4)</f>
        <v>#DIV/0!</v>
      </c>
      <c r="D30" s="39">
        <f>+D31+D32</f>
        <v>0</v>
      </c>
    </row>
    <row r="31" spans="1:6" x14ac:dyDescent="0.2">
      <c r="A31" s="121" t="s">
        <v>41</v>
      </c>
      <c r="B31" s="35" t="s">
        <v>45</v>
      </c>
      <c r="C31" s="40" t="e">
        <f>ROUND(+D31/$D$23,4)</f>
        <v>#DIV/0!</v>
      </c>
      <c r="D31" s="36">
        <f>ROUND(+D23/12,2)</f>
        <v>0</v>
      </c>
    </row>
    <row r="32" spans="1:6" x14ac:dyDescent="0.2">
      <c r="A32" s="121" t="s">
        <v>42</v>
      </c>
      <c r="B32" s="35" t="s">
        <v>44</v>
      </c>
      <c r="C32" s="40" t="e">
        <f>ROUND(+D32/$D$23,4)</f>
        <v>#DIV/0!</v>
      </c>
      <c r="D32" s="36">
        <f>ROUND(+(D23*1/3)/12,2)</f>
        <v>0</v>
      </c>
    </row>
    <row r="33" spans="1:4" x14ac:dyDescent="0.2">
      <c r="A33" s="474" t="s">
        <v>29</v>
      </c>
      <c r="B33" s="474"/>
      <c r="C33" s="474"/>
      <c r="D33" s="9">
        <f>+D30+D29</f>
        <v>0</v>
      </c>
    </row>
    <row r="35" spans="1:4" ht="34.5" customHeight="1" x14ac:dyDescent="0.2">
      <c r="A35" s="467" t="s">
        <v>47</v>
      </c>
      <c r="B35" s="467"/>
      <c r="C35" s="467"/>
      <c r="D35" s="467"/>
    </row>
    <row r="36" spans="1:4" x14ac:dyDescent="0.2">
      <c r="A36" s="19" t="s">
        <v>48</v>
      </c>
      <c r="B36" s="21" t="s">
        <v>49</v>
      </c>
      <c r="C36" s="22" t="s">
        <v>50</v>
      </c>
      <c r="D36" s="20" t="s">
        <v>24</v>
      </c>
    </row>
    <row r="37" spans="1:4" x14ac:dyDescent="0.2">
      <c r="A37" s="121" t="s">
        <v>3</v>
      </c>
      <c r="B37" s="6" t="s">
        <v>51</v>
      </c>
      <c r="C37" s="17">
        <v>0.2</v>
      </c>
      <c r="D37" s="18">
        <f>ROUND(C37*($D$23+$D$33),2)</f>
        <v>0</v>
      </c>
    </row>
    <row r="38" spans="1:4" x14ac:dyDescent="0.2">
      <c r="A38" s="121" t="s">
        <v>4</v>
      </c>
      <c r="B38" s="6" t="s">
        <v>52</v>
      </c>
      <c r="C38" s="17">
        <v>2.5000000000000001E-2</v>
      </c>
      <c r="D38" s="18">
        <f t="shared" ref="D38:D43" si="0">ROUND(C38*($D$23+$D$33),2)</f>
        <v>0</v>
      </c>
    </row>
    <row r="39" spans="1:4" x14ac:dyDescent="0.2">
      <c r="A39" s="121" t="s">
        <v>5</v>
      </c>
      <c r="B39" s="6" t="s">
        <v>58</v>
      </c>
      <c r="C39" s="17">
        <f>3%</f>
        <v>0.03</v>
      </c>
      <c r="D39" s="18">
        <f t="shared" si="0"/>
        <v>0</v>
      </c>
    </row>
    <row r="40" spans="1:4" x14ac:dyDescent="0.2">
      <c r="A40" s="121" t="s">
        <v>6</v>
      </c>
      <c r="B40" s="6" t="s">
        <v>53</v>
      </c>
      <c r="C40" s="17">
        <v>1.4999999999999999E-2</v>
      </c>
      <c r="D40" s="18">
        <f t="shared" si="0"/>
        <v>0</v>
      </c>
    </row>
    <row r="41" spans="1:4" x14ac:dyDescent="0.2">
      <c r="A41" s="121" t="s">
        <v>25</v>
      </c>
      <c r="B41" s="6" t="s">
        <v>54</v>
      </c>
      <c r="C41" s="17">
        <v>0.01</v>
      </c>
      <c r="D41" s="18">
        <f t="shared" si="0"/>
        <v>0</v>
      </c>
    </row>
    <row r="42" spans="1:4" x14ac:dyDescent="0.2">
      <c r="A42" s="121" t="s">
        <v>26</v>
      </c>
      <c r="B42" s="6" t="s">
        <v>55</v>
      </c>
      <c r="C42" s="17">
        <v>6.0000000000000001E-3</v>
      </c>
      <c r="D42" s="18">
        <f t="shared" si="0"/>
        <v>0</v>
      </c>
    </row>
    <row r="43" spans="1:4" x14ac:dyDescent="0.2">
      <c r="A43" s="121" t="s">
        <v>27</v>
      </c>
      <c r="B43" s="6" t="s">
        <v>56</v>
      </c>
      <c r="C43" s="17">
        <v>2E-3</v>
      </c>
      <c r="D43" s="18">
        <f t="shared" si="0"/>
        <v>0</v>
      </c>
    </row>
    <row r="44" spans="1:4" x14ac:dyDescent="0.2">
      <c r="A44" s="121" t="s">
        <v>28</v>
      </c>
      <c r="B44" s="6" t="s">
        <v>57</v>
      </c>
      <c r="C44" s="17">
        <v>0.08</v>
      </c>
      <c r="D44" s="18">
        <f>ROUND(C44*($D$23+$D$33),2)</f>
        <v>0</v>
      </c>
    </row>
    <row r="45" spans="1:4" x14ac:dyDescent="0.2">
      <c r="A45" s="123" t="s">
        <v>29</v>
      </c>
      <c r="B45" s="125"/>
      <c r="C45" s="41">
        <f>SUM(C37:C44)</f>
        <v>0.36800000000000005</v>
      </c>
      <c r="D45" s="42">
        <f>SUM(D37:D44)</f>
        <v>0</v>
      </c>
    </row>
    <row r="46" spans="1:4" x14ac:dyDescent="0.2">
      <c r="A46" s="43"/>
      <c r="B46" s="43"/>
      <c r="C46" s="43"/>
      <c r="D46" s="43"/>
    </row>
    <row r="47" spans="1:4" ht="12.75" customHeight="1" x14ac:dyDescent="0.2">
      <c r="A47" s="467" t="s">
        <v>59</v>
      </c>
      <c r="B47" s="467"/>
      <c r="C47" s="467"/>
      <c r="D47" s="467"/>
    </row>
    <row r="48" spans="1:4" x14ac:dyDescent="0.2">
      <c r="A48" s="19" t="s">
        <v>60</v>
      </c>
      <c r="B48" s="21" t="s">
        <v>61</v>
      </c>
      <c r="C48" s="22"/>
      <c r="D48" s="20" t="s">
        <v>24</v>
      </c>
    </row>
    <row r="49" spans="1:6" x14ac:dyDescent="0.2">
      <c r="A49" s="107" t="s">
        <v>3</v>
      </c>
      <c r="B49" s="6" t="s">
        <v>62</v>
      </c>
      <c r="C49" s="54"/>
      <c r="D49" s="18">
        <f>+'Calculo 12 36 Not Arm'!C107</f>
        <v>0</v>
      </c>
    </row>
    <row r="50" spans="1:6" s="60" customFormat="1" x14ac:dyDescent="0.2">
      <c r="A50" s="75" t="s">
        <v>177</v>
      </c>
      <c r="B50" s="34" t="s">
        <v>178</v>
      </c>
      <c r="C50" s="29">
        <f>+$C$135+$C$136</f>
        <v>3.6499999999999998E-2</v>
      </c>
      <c r="D50" s="77">
        <f>+(C50*D49)*-1</f>
        <v>0</v>
      </c>
      <c r="F50" s="76"/>
    </row>
    <row r="51" spans="1:6" x14ac:dyDescent="0.2">
      <c r="A51" s="107" t="s">
        <v>4</v>
      </c>
      <c r="B51" s="6" t="s">
        <v>63</v>
      </c>
      <c r="C51" s="54"/>
      <c r="D51" s="18">
        <f>+'Calculo 12 36 Not Arm'!C116</f>
        <v>0</v>
      </c>
      <c r="F51" s="61"/>
    </row>
    <row r="52" spans="1:6" s="60" customFormat="1" x14ac:dyDescent="0.2">
      <c r="A52" s="75" t="s">
        <v>41</v>
      </c>
      <c r="B52" s="34" t="s">
        <v>178</v>
      </c>
      <c r="C52" s="29">
        <f>+$C$135+$C$136</f>
        <v>3.6499999999999998E-2</v>
      </c>
      <c r="D52" s="77">
        <f>+(C52*D51)*-1</f>
        <v>0</v>
      </c>
      <c r="F52" s="78"/>
    </row>
    <row r="53" spans="1:6" x14ac:dyDescent="0.2">
      <c r="A53" s="6" t="s">
        <v>5</v>
      </c>
      <c r="B53" s="6" t="s">
        <v>66</v>
      </c>
      <c r="C53" s="54"/>
      <c r="D53" s="18"/>
      <c r="F53" s="61"/>
    </row>
    <row r="54" spans="1:6" x14ac:dyDescent="0.2">
      <c r="A54" s="75" t="s">
        <v>161</v>
      </c>
      <c r="B54" s="34" t="s">
        <v>178</v>
      </c>
      <c r="C54" s="29">
        <f>+$C$135+$C$136</f>
        <v>3.6499999999999998E-2</v>
      </c>
      <c r="D54" s="77">
        <f>+(C54*D53)*-1</f>
        <v>0</v>
      </c>
      <c r="F54" s="61"/>
    </row>
    <row r="55" spans="1:6" x14ac:dyDescent="0.2">
      <c r="A55" s="116" t="s">
        <v>6</v>
      </c>
      <c r="B55" s="116" t="s">
        <v>403</v>
      </c>
      <c r="C55" s="54"/>
      <c r="D55" s="377"/>
      <c r="F55" s="61"/>
    </row>
    <row r="56" spans="1:6" x14ac:dyDescent="0.2">
      <c r="A56" s="75" t="s">
        <v>179</v>
      </c>
      <c r="B56" s="34" t="s">
        <v>178</v>
      </c>
      <c r="C56" s="29">
        <f>+$C$135+$C$136</f>
        <v>3.6499999999999998E-2</v>
      </c>
      <c r="D56" s="77">
        <f>+(C56*D55)*-1</f>
        <v>0</v>
      </c>
      <c r="F56" s="61"/>
    </row>
    <row r="57" spans="1:6" x14ac:dyDescent="0.2">
      <c r="A57" s="116" t="s">
        <v>25</v>
      </c>
      <c r="B57" s="116" t="s">
        <v>436</v>
      </c>
      <c r="C57" s="54"/>
      <c r="D57" s="378"/>
      <c r="F57" s="129"/>
    </row>
    <row r="58" spans="1:6" x14ac:dyDescent="0.2">
      <c r="A58" s="75" t="s">
        <v>180</v>
      </c>
      <c r="B58" s="34" t="s">
        <v>178</v>
      </c>
      <c r="C58" s="29">
        <f>+$C$135+$C$136</f>
        <v>3.6499999999999998E-2</v>
      </c>
      <c r="D58" s="77">
        <f>+(C58*D57)*-1</f>
        <v>0</v>
      </c>
    </row>
    <row r="59" spans="1:6" x14ac:dyDescent="0.2">
      <c r="A59" s="116" t="s">
        <v>26</v>
      </c>
      <c r="B59" s="454" t="s">
        <v>293</v>
      </c>
      <c r="C59" s="454"/>
      <c r="D59" s="377"/>
    </row>
    <row r="60" spans="1:6" x14ac:dyDescent="0.2">
      <c r="A60" s="75" t="s">
        <v>81</v>
      </c>
      <c r="B60" s="34" t="s">
        <v>178</v>
      </c>
      <c r="C60" s="29">
        <f>+$C$135+$C$136</f>
        <v>3.6499999999999998E-2</v>
      </c>
      <c r="D60" s="77">
        <f>+(C60*D59)*-1</f>
        <v>0</v>
      </c>
    </row>
    <row r="61" spans="1:6" x14ac:dyDescent="0.2">
      <c r="A61" s="463" t="s">
        <v>29</v>
      </c>
      <c r="B61" s="465"/>
      <c r="C61" s="16"/>
      <c r="D61" s="130">
        <f>SUM(D49:D60)</f>
        <v>0</v>
      </c>
    </row>
    <row r="63" spans="1:6" x14ac:dyDescent="0.2">
      <c r="A63" s="455" t="s">
        <v>67</v>
      </c>
      <c r="B63" s="455"/>
      <c r="C63" s="455"/>
      <c r="D63" s="455"/>
    </row>
    <row r="64" spans="1:6" x14ac:dyDescent="0.2">
      <c r="A64" s="24">
        <v>2</v>
      </c>
      <c r="B64" s="455" t="s">
        <v>68</v>
      </c>
      <c r="C64" s="455"/>
      <c r="D64" s="127" t="s">
        <v>24</v>
      </c>
    </row>
    <row r="65" spans="1:4" x14ac:dyDescent="0.2">
      <c r="A65" s="25" t="s">
        <v>39</v>
      </c>
      <c r="B65" s="466" t="s">
        <v>40</v>
      </c>
      <c r="C65" s="466"/>
      <c r="D65" s="18">
        <f>+D33</f>
        <v>0</v>
      </c>
    </row>
    <row r="66" spans="1:4" x14ac:dyDescent="0.2">
      <c r="A66" s="25" t="s">
        <v>48</v>
      </c>
      <c r="B66" s="466" t="s">
        <v>49</v>
      </c>
      <c r="C66" s="466"/>
      <c r="D66" s="18">
        <f>+D45</f>
        <v>0</v>
      </c>
    </row>
    <row r="67" spans="1:4" x14ac:dyDescent="0.2">
      <c r="A67" s="25" t="s">
        <v>60</v>
      </c>
      <c r="B67" s="466" t="s">
        <v>61</v>
      </c>
      <c r="C67" s="466"/>
      <c r="D67" s="68">
        <f>+D61</f>
        <v>0</v>
      </c>
    </row>
    <row r="68" spans="1:4" x14ac:dyDescent="0.2">
      <c r="A68" s="455" t="s">
        <v>29</v>
      </c>
      <c r="B68" s="455"/>
      <c r="C68" s="455"/>
      <c r="D68" s="26">
        <f>SUM(D65:D67)</f>
        <v>0</v>
      </c>
    </row>
    <row r="70" spans="1:4" x14ac:dyDescent="0.2">
      <c r="A70" s="455" t="s">
        <v>69</v>
      </c>
      <c r="B70" s="455"/>
      <c r="C70" s="455"/>
      <c r="D70" s="455"/>
    </row>
    <row r="72" spans="1:4" x14ac:dyDescent="0.2">
      <c r="A72" s="13">
        <v>3</v>
      </c>
      <c r="B72" s="14" t="s">
        <v>70</v>
      </c>
      <c r="C72" s="122" t="s">
        <v>50</v>
      </c>
      <c r="D72" s="122" t="s">
        <v>24</v>
      </c>
    </row>
    <row r="73" spans="1:4" x14ac:dyDescent="0.2">
      <c r="A73" s="121" t="s">
        <v>3</v>
      </c>
      <c r="B73" s="34" t="s">
        <v>72</v>
      </c>
      <c r="C73" s="29" t="e">
        <f>+D73/$D$23</f>
        <v>#DIV/0!</v>
      </c>
      <c r="D73" s="118">
        <f>+'Calculo 12 36 Not Arm'!C122</f>
        <v>0</v>
      </c>
    </row>
    <row r="74" spans="1:4" x14ac:dyDescent="0.2">
      <c r="A74" s="121" t="s">
        <v>4</v>
      </c>
      <c r="B74" s="6" t="s">
        <v>73</v>
      </c>
      <c r="C74" s="52"/>
      <c r="D74" s="8">
        <f>ROUND(+D73*$C$44,2)</f>
        <v>0</v>
      </c>
    </row>
    <row r="75" spans="1:4" ht="25.5" x14ac:dyDescent="0.2">
      <c r="A75" s="121" t="s">
        <v>5</v>
      </c>
      <c r="B75" s="30" t="s">
        <v>75</v>
      </c>
      <c r="C75" s="17" t="e">
        <f>+D75/$D$23</f>
        <v>#DIV/0!</v>
      </c>
      <c r="D75" s="8">
        <f>+'Calculo 12 36 Not Arm'!C136</f>
        <v>0</v>
      </c>
    </row>
    <row r="76" spans="1:4" x14ac:dyDescent="0.2">
      <c r="A76" s="108" t="s">
        <v>6</v>
      </c>
      <c r="B76" s="6" t="s">
        <v>71</v>
      </c>
      <c r="C76" s="17" t="e">
        <f>+D76/$D$23</f>
        <v>#DIV/0!</v>
      </c>
      <c r="D76" s="8">
        <f>+'Calculo 12 36 Not Arm'!C144</f>
        <v>0</v>
      </c>
    </row>
    <row r="77" spans="1:4" ht="25.5" x14ac:dyDescent="0.2">
      <c r="A77" s="108" t="s">
        <v>25</v>
      </c>
      <c r="B77" s="30" t="s">
        <v>74</v>
      </c>
      <c r="C77" s="52"/>
      <c r="D77" s="384"/>
    </row>
    <row r="78" spans="1:4" ht="25.5" x14ac:dyDescent="0.2">
      <c r="A78" s="108" t="s">
        <v>26</v>
      </c>
      <c r="B78" s="30" t="s">
        <v>76</v>
      </c>
      <c r="C78" s="17" t="e">
        <f>+D78/$D$23</f>
        <v>#DIV/0!</v>
      </c>
      <c r="D78" s="18">
        <f>+'Calculo 12 36 Not Arm'!C158</f>
        <v>0</v>
      </c>
    </row>
    <row r="79" spans="1:4" x14ac:dyDescent="0.2">
      <c r="A79" s="463" t="s">
        <v>29</v>
      </c>
      <c r="B79" s="464"/>
      <c r="C79" s="465"/>
      <c r="D79" s="32">
        <f>SUM(D73:D78)</f>
        <v>0</v>
      </c>
    </row>
    <row r="81" spans="1:4" x14ac:dyDescent="0.2">
      <c r="A81" s="455" t="s">
        <v>84</v>
      </c>
      <c r="B81" s="455"/>
      <c r="C81" s="455"/>
      <c r="D81" s="455"/>
    </row>
    <row r="83" spans="1:4" x14ac:dyDescent="0.2">
      <c r="A83" s="467" t="s">
        <v>87</v>
      </c>
      <c r="B83" s="467"/>
      <c r="C83" s="467"/>
      <c r="D83" s="467"/>
    </row>
    <row r="84" spans="1:4" x14ac:dyDescent="0.2">
      <c r="A84" s="13" t="s">
        <v>85</v>
      </c>
      <c r="B84" s="463" t="s">
        <v>86</v>
      </c>
      <c r="C84" s="465"/>
      <c r="D84" s="122" t="s">
        <v>24</v>
      </c>
    </row>
    <row r="85" spans="1:4" x14ac:dyDescent="0.2">
      <c r="A85" s="6" t="s">
        <v>3</v>
      </c>
      <c r="B85" s="470" t="s">
        <v>88</v>
      </c>
      <c r="C85" s="471"/>
      <c r="D85" s="8"/>
    </row>
    <row r="86" spans="1:4" x14ac:dyDescent="0.2">
      <c r="A86" s="34" t="s">
        <v>4</v>
      </c>
      <c r="B86" s="488" t="s">
        <v>86</v>
      </c>
      <c r="C86" s="489"/>
      <c r="D86" s="120">
        <f>+'Calculo 12 36 Not Arm'!C171</f>
        <v>0</v>
      </c>
    </row>
    <row r="87" spans="1:4" s="60" customFormat="1" x14ac:dyDescent="0.2">
      <c r="A87" s="34" t="s">
        <v>5</v>
      </c>
      <c r="B87" s="488" t="s">
        <v>89</v>
      </c>
      <c r="C87" s="489"/>
      <c r="D87" s="120">
        <f>+'Calculo 12 36 Not Arm'!C180</f>
        <v>0</v>
      </c>
    </row>
    <row r="88" spans="1:4" s="60" customFormat="1" x14ac:dyDescent="0.2">
      <c r="A88" s="34" t="s">
        <v>6</v>
      </c>
      <c r="B88" s="488" t="s">
        <v>90</v>
      </c>
      <c r="C88" s="489"/>
      <c r="D88" s="120">
        <f>+'Calculo 12 36 Not Arm'!C188</f>
        <v>0</v>
      </c>
    </row>
    <row r="89" spans="1:4" s="60" customFormat="1" ht="13.5" x14ac:dyDescent="0.2">
      <c r="A89" s="34" t="s">
        <v>25</v>
      </c>
      <c r="B89" s="488" t="s">
        <v>287</v>
      </c>
      <c r="C89" s="489"/>
      <c r="D89" s="120"/>
    </row>
    <row r="90" spans="1:4" s="60" customFormat="1" x14ac:dyDescent="0.2">
      <c r="A90" s="34" t="s">
        <v>26</v>
      </c>
      <c r="B90" s="488" t="s">
        <v>93</v>
      </c>
      <c r="C90" s="489"/>
      <c r="D90" s="120">
        <f>+'Calculo 12 36 Not Arm'!C196</f>
        <v>0</v>
      </c>
    </row>
    <row r="91" spans="1:4" x14ac:dyDescent="0.2">
      <c r="A91" s="6" t="s">
        <v>27</v>
      </c>
      <c r="B91" s="470" t="s">
        <v>36</v>
      </c>
      <c r="C91" s="471"/>
      <c r="D91" s="8"/>
    </row>
    <row r="92" spans="1:4" x14ac:dyDescent="0.2">
      <c r="A92" s="6" t="s">
        <v>28</v>
      </c>
      <c r="B92" s="470" t="s">
        <v>94</v>
      </c>
      <c r="C92" s="471"/>
      <c r="D92" s="384"/>
    </row>
    <row r="93" spans="1:4" x14ac:dyDescent="0.2">
      <c r="A93" s="474" t="s">
        <v>29</v>
      </c>
      <c r="B93" s="474"/>
      <c r="C93" s="474"/>
      <c r="D93" s="9">
        <f>SUM(D85:D92)</f>
        <v>0</v>
      </c>
    </row>
    <row r="94" spans="1:4" x14ac:dyDescent="0.2">
      <c r="D94" s="15"/>
    </row>
    <row r="95" spans="1:4" x14ac:dyDescent="0.2">
      <c r="A95" s="13" t="s">
        <v>99</v>
      </c>
      <c r="B95" s="463" t="s">
        <v>92</v>
      </c>
      <c r="C95" s="465"/>
      <c r="D95" s="122" t="s">
        <v>24</v>
      </c>
    </row>
    <row r="96" spans="1:4" s="60" customFormat="1" x14ac:dyDescent="0.2">
      <c r="A96" s="34" t="s">
        <v>3</v>
      </c>
      <c r="B96" s="475" t="s">
        <v>96</v>
      </c>
      <c r="C96" s="476"/>
      <c r="D96" s="120">
        <f>+'Calculo 12 36 Not Arm'!C220</f>
        <v>0</v>
      </c>
    </row>
    <row r="97" spans="1:4" s="60" customFormat="1" ht="24.75" customHeight="1" x14ac:dyDescent="0.2">
      <c r="A97" s="34" t="s">
        <v>4</v>
      </c>
      <c r="B97" s="490" t="s">
        <v>98</v>
      </c>
      <c r="C97" s="491"/>
      <c r="D97" s="384"/>
    </row>
    <row r="98" spans="1:4" s="60" customFormat="1" ht="25.5" customHeight="1" x14ac:dyDescent="0.2">
      <c r="A98" s="34" t="s">
        <v>5</v>
      </c>
      <c r="B98" s="490" t="s">
        <v>97</v>
      </c>
      <c r="C98" s="491"/>
      <c r="D98" s="384"/>
    </row>
    <row r="99" spans="1:4" x14ac:dyDescent="0.2">
      <c r="A99" s="6" t="s">
        <v>6</v>
      </c>
      <c r="B99" s="470" t="s">
        <v>36</v>
      </c>
      <c r="C99" s="471"/>
      <c r="D99" s="8"/>
    </row>
    <row r="100" spans="1:4" x14ac:dyDescent="0.2">
      <c r="A100" s="474" t="s">
        <v>29</v>
      </c>
      <c r="B100" s="474"/>
      <c r="C100" s="474"/>
      <c r="D100" s="9">
        <f>SUM(D96:D99)</f>
        <v>0</v>
      </c>
    </row>
    <row r="101" spans="1:4" x14ac:dyDescent="0.2">
      <c r="D101" s="15"/>
    </row>
    <row r="102" spans="1:4" x14ac:dyDescent="0.2">
      <c r="A102" s="13" t="s">
        <v>91</v>
      </c>
      <c r="B102" s="474" t="s">
        <v>100</v>
      </c>
      <c r="C102" s="474"/>
      <c r="D102" s="122" t="s">
        <v>24</v>
      </c>
    </row>
    <row r="103" spans="1:4" s="50" customFormat="1" ht="39.75" customHeight="1" x14ac:dyDescent="0.2">
      <c r="A103" s="108" t="s">
        <v>3</v>
      </c>
      <c r="B103" s="492" t="s">
        <v>288</v>
      </c>
      <c r="C103" s="492"/>
      <c r="D103" s="49">
        <f>+'Calculo 12 36 Not Arm'!C209</f>
        <v>0</v>
      </c>
    </row>
    <row r="104" spans="1:4" x14ac:dyDescent="0.2">
      <c r="A104" s="474" t="s">
        <v>29</v>
      </c>
      <c r="B104" s="474"/>
      <c r="C104" s="474"/>
      <c r="D104" s="9">
        <f>SUM(D103:D103)</f>
        <v>0</v>
      </c>
    </row>
    <row r="106" spans="1:4" x14ac:dyDescent="0.2">
      <c r="A106" s="124" t="s">
        <v>109</v>
      </c>
      <c r="B106" s="124"/>
      <c r="C106" s="124"/>
      <c r="D106" s="124"/>
    </row>
    <row r="107" spans="1:4" x14ac:dyDescent="0.2">
      <c r="A107" s="6" t="s">
        <v>85</v>
      </c>
      <c r="B107" s="470" t="s">
        <v>86</v>
      </c>
      <c r="C107" s="471"/>
      <c r="D107" s="18">
        <f>+D93</f>
        <v>0</v>
      </c>
    </row>
    <row r="108" spans="1:4" x14ac:dyDescent="0.2">
      <c r="A108" s="6" t="s">
        <v>99</v>
      </c>
      <c r="B108" s="470" t="s">
        <v>92</v>
      </c>
      <c r="C108" s="471"/>
      <c r="D108" s="18">
        <f>+D100</f>
        <v>0</v>
      </c>
    </row>
    <row r="109" spans="1:4" x14ac:dyDescent="0.2">
      <c r="A109" s="74"/>
      <c r="B109" s="472" t="s">
        <v>110</v>
      </c>
      <c r="C109" s="473"/>
      <c r="D109" s="73">
        <f>+D108+D107</f>
        <v>0</v>
      </c>
    </row>
    <row r="110" spans="1:4" x14ac:dyDescent="0.2">
      <c r="A110" s="6" t="s">
        <v>91</v>
      </c>
      <c r="B110" s="470" t="s">
        <v>100</v>
      </c>
      <c r="C110" s="471"/>
      <c r="D110" s="18">
        <f>+D104</f>
        <v>0</v>
      </c>
    </row>
    <row r="111" spans="1:4" x14ac:dyDescent="0.2">
      <c r="A111" s="494" t="s">
        <v>29</v>
      </c>
      <c r="B111" s="494"/>
      <c r="C111" s="494"/>
      <c r="D111" s="71">
        <f>+D110+D109</f>
        <v>0</v>
      </c>
    </row>
    <row r="113" spans="1:4" x14ac:dyDescent="0.2">
      <c r="A113" s="455" t="s">
        <v>151</v>
      </c>
      <c r="B113" s="455"/>
      <c r="C113" s="455"/>
      <c r="D113" s="455"/>
    </row>
    <row r="115" spans="1:4" x14ac:dyDescent="0.2">
      <c r="A115" s="13">
        <v>5</v>
      </c>
      <c r="B115" s="463" t="s">
        <v>152</v>
      </c>
      <c r="C115" s="465"/>
      <c r="D115" s="122" t="s">
        <v>24</v>
      </c>
    </row>
    <row r="116" spans="1:4" x14ac:dyDescent="0.2">
      <c r="A116" s="6" t="s">
        <v>3</v>
      </c>
      <c r="B116" s="388" t="s">
        <v>153</v>
      </c>
      <c r="C116" s="388"/>
      <c r="D116" s="8">
        <f>+Uniforme!G47</f>
        <v>0</v>
      </c>
    </row>
    <row r="117" spans="1:4" x14ac:dyDescent="0.2">
      <c r="A117" s="6" t="s">
        <v>177</v>
      </c>
      <c r="B117" s="34" t="s">
        <v>178</v>
      </c>
      <c r="C117" s="29">
        <f>+$C$135+$C$136</f>
        <v>3.6499999999999998E-2</v>
      </c>
      <c r="D117" s="77">
        <f>+(C117*D116)*-1</f>
        <v>0</v>
      </c>
    </row>
    <row r="118" spans="1:4" x14ac:dyDescent="0.2">
      <c r="A118" s="6" t="s">
        <v>4</v>
      </c>
      <c r="B118" s="388" t="s">
        <v>154</v>
      </c>
      <c r="C118" s="388"/>
      <c r="D118" s="8"/>
    </row>
    <row r="119" spans="1:4" x14ac:dyDescent="0.2">
      <c r="A119" s="6" t="s">
        <v>41</v>
      </c>
      <c r="B119" s="34" t="s">
        <v>178</v>
      </c>
      <c r="C119" s="29">
        <f>+$C$135+$C$136</f>
        <v>3.6499999999999998E-2</v>
      </c>
      <c r="D119" s="77">
        <f>+(C119*D118)*-1</f>
        <v>0</v>
      </c>
    </row>
    <row r="120" spans="1:4" x14ac:dyDescent="0.2">
      <c r="A120" s="6" t="s">
        <v>5</v>
      </c>
      <c r="B120" s="388" t="s">
        <v>155</v>
      </c>
      <c r="C120" s="388"/>
      <c r="D120" s="8">
        <f>+Uniforme!F63</f>
        <v>0</v>
      </c>
    </row>
    <row r="121" spans="1:4" x14ac:dyDescent="0.2">
      <c r="A121" s="6" t="s">
        <v>161</v>
      </c>
      <c r="B121" s="34" t="s">
        <v>178</v>
      </c>
      <c r="C121" s="29">
        <f>+$C$135+$C$136</f>
        <v>3.6499999999999998E-2</v>
      </c>
      <c r="D121" s="77">
        <f>+(C121*D120)*-1</f>
        <v>0</v>
      </c>
    </row>
    <row r="122" spans="1:4" x14ac:dyDescent="0.2">
      <c r="A122" s="6" t="s">
        <v>6</v>
      </c>
      <c r="B122" s="388" t="s">
        <v>36</v>
      </c>
      <c r="C122" s="388"/>
      <c r="D122" s="8"/>
    </row>
    <row r="123" spans="1:4" x14ac:dyDescent="0.2">
      <c r="A123" s="6" t="s">
        <v>179</v>
      </c>
      <c r="B123" s="34" t="s">
        <v>178</v>
      </c>
      <c r="C123" s="29">
        <f>+$C$135+$C$136</f>
        <v>3.6499999999999998E-2</v>
      </c>
      <c r="D123" s="77">
        <f>+(C123*D122)*-1</f>
        <v>0</v>
      </c>
    </row>
    <row r="124" spans="1:4" x14ac:dyDescent="0.2">
      <c r="A124" s="474" t="s">
        <v>29</v>
      </c>
      <c r="B124" s="474"/>
      <c r="C124" s="474"/>
      <c r="D124" s="9">
        <f>SUM(D116:D122)</f>
        <v>0</v>
      </c>
    </row>
    <row r="126" spans="1:4" x14ac:dyDescent="0.2">
      <c r="A126" s="455" t="s">
        <v>156</v>
      </c>
      <c r="B126" s="455"/>
      <c r="C126" s="455"/>
      <c r="D126" s="455"/>
    </row>
    <row r="128" spans="1:4" x14ac:dyDescent="0.2">
      <c r="A128" s="13">
        <v>6</v>
      </c>
      <c r="B128" s="14" t="s">
        <v>157</v>
      </c>
      <c r="C128" s="126" t="s">
        <v>50</v>
      </c>
      <c r="D128" s="122" t="s">
        <v>24</v>
      </c>
    </row>
    <row r="129" spans="1:4" x14ac:dyDescent="0.2">
      <c r="A129" s="116" t="s">
        <v>3</v>
      </c>
      <c r="B129" s="116" t="s">
        <v>158</v>
      </c>
      <c r="C129" s="114">
        <v>0.03</v>
      </c>
      <c r="D129" s="377">
        <f>($D$124+$D$111+$D$79+$D$68+$D$23)*C129</f>
        <v>0</v>
      </c>
    </row>
    <row r="130" spans="1:4" x14ac:dyDescent="0.2">
      <c r="A130" s="116" t="s">
        <v>4</v>
      </c>
      <c r="B130" s="116" t="s">
        <v>159</v>
      </c>
      <c r="C130" s="114">
        <v>0.03</v>
      </c>
      <c r="D130" s="377">
        <f>($D$124+$D$111+$D$79+$D$68+$D$23+D129)*C130</f>
        <v>0</v>
      </c>
    </row>
    <row r="131" spans="1:4" s="79" customFormat="1" x14ac:dyDescent="0.2">
      <c r="A131" s="495" t="s">
        <v>181</v>
      </c>
      <c r="B131" s="496"/>
      <c r="C131" s="497"/>
      <c r="D131" s="81">
        <f>++D130+D129+D124+D111+D79+D68+D23</f>
        <v>0</v>
      </c>
    </row>
    <row r="132" spans="1:4" s="79" customFormat="1" x14ac:dyDescent="0.2">
      <c r="A132" s="498" t="s">
        <v>182</v>
      </c>
      <c r="B132" s="499"/>
      <c r="C132" s="500"/>
      <c r="D132" s="81">
        <f>ROUND(D131/(1-(C135+C136+C138+C140+C141)),2)</f>
        <v>0</v>
      </c>
    </row>
    <row r="133" spans="1:4" x14ac:dyDescent="0.2">
      <c r="A133" s="6" t="s">
        <v>5</v>
      </c>
      <c r="B133" s="6" t="s">
        <v>160</v>
      </c>
      <c r="C133" s="17"/>
      <c r="D133" s="6"/>
    </row>
    <row r="134" spans="1:4" x14ac:dyDescent="0.2">
      <c r="A134" s="6" t="s">
        <v>161</v>
      </c>
      <c r="B134" s="6" t="s">
        <v>162</v>
      </c>
      <c r="C134" s="17"/>
      <c r="D134" s="6"/>
    </row>
    <row r="135" spans="1:4" x14ac:dyDescent="0.2">
      <c r="A135" s="116" t="s">
        <v>163</v>
      </c>
      <c r="B135" s="116" t="s">
        <v>165</v>
      </c>
      <c r="C135" s="114">
        <v>6.4999999999999997E-3</v>
      </c>
      <c r="D135" s="377">
        <f>ROUND(C135*$D$132,2)</f>
        <v>0</v>
      </c>
    </row>
    <row r="136" spans="1:4" x14ac:dyDescent="0.2">
      <c r="A136" s="116" t="s">
        <v>164</v>
      </c>
      <c r="B136" s="116" t="s">
        <v>166</v>
      </c>
      <c r="C136" s="114">
        <v>0.03</v>
      </c>
      <c r="D136" s="377">
        <f>ROUND(C136*$D$132,2)</f>
        <v>0</v>
      </c>
    </row>
    <row r="137" spans="1:4" x14ac:dyDescent="0.2">
      <c r="A137" s="6" t="s">
        <v>167</v>
      </c>
      <c r="B137" s="6" t="s">
        <v>168</v>
      </c>
      <c r="C137" s="17"/>
      <c r="D137" s="18"/>
    </row>
    <row r="138" spans="1:4" x14ac:dyDescent="0.2">
      <c r="A138" s="6" t="s">
        <v>170</v>
      </c>
      <c r="B138" s="6" t="s">
        <v>169</v>
      </c>
      <c r="C138" s="17"/>
      <c r="D138" s="6"/>
    </row>
    <row r="139" spans="1:4" x14ac:dyDescent="0.2">
      <c r="A139" s="6" t="s">
        <v>171</v>
      </c>
      <c r="B139" s="6" t="s">
        <v>172</v>
      </c>
      <c r="C139" s="17"/>
      <c r="D139" s="6"/>
    </row>
    <row r="140" spans="1:4" x14ac:dyDescent="0.2">
      <c r="A140" s="116" t="s">
        <v>173</v>
      </c>
      <c r="B140" s="116" t="s">
        <v>174</v>
      </c>
      <c r="C140" s="114">
        <v>0.05</v>
      </c>
      <c r="D140" s="377">
        <f>ROUND(C140*$D$132,2)</f>
        <v>0</v>
      </c>
    </row>
    <row r="141" spans="1:4" x14ac:dyDescent="0.2">
      <c r="A141" s="6" t="s">
        <v>175</v>
      </c>
      <c r="B141" s="6" t="s">
        <v>176</v>
      </c>
      <c r="C141" s="17"/>
      <c r="D141" s="6"/>
    </row>
    <row r="142" spans="1:4" x14ac:dyDescent="0.2">
      <c r="A142" s="463" t="s">
        <v>29</v>
      </c>
      <c r="B142" s="464"/>
      <c r="C142" s="80">
        <f>+C141+C140+C138+C136+C135+C130+C129</f>
        <v>0.14650000000000002</v>
      </c>
      <c r="D142" s="9">
        <f>+D140+D138+D136+D135+D130+D129</f>
        <v>0</v>
      </c>
    </row>
    <row r="144" spans="1:4" x14ac:dyDescent="0.2">
      <c r="A144" s="501" t="s">
        <v>183</v>
      </c>
      <c r="B144" s="501"/>
      <c r="C144" s="501"/>
      <c r="D144" s="501"/>
    </row>
    <row r="145" spans="1:4" x14ac:dyDescent="0.2">
      <c r="A145" s="6" t="s">
        <v>3</v>
      </c>
      <c r="B145" s="456" t="s">
        <v>185</v>
      </c>
      <c r="C145" s="456"/>
      <c r="D145" s="8">
        <f>+D23</f>
        <v>0</v>
      </c>
    </row>
    <row r="146" spans="1:4" x14ac:dyDescent="0.2">
      <c r="A146" s="6" t="s">
        <v>184</v>
      </c>
      <c r="B146" s="456" t="s">
        <v>186</v>
      </c>
      <c r="C146" s="456"/>
      <c r="D146" s="8">
        <f>+D68</f>
        <v>0</v>
      </c>
    </row>
    <row r="147" spans="1:4" x14ac:dyDescent="0.2">
      <c r="A147" s="6" t="s">
        <v>5</v>
      </c>
      <c r="B147" s="456" t="s">
        <v>187</v>
      </c>
      <c r="C147" s="456"/>
      <c r="D147" s="8">
        <f>+D79</f>
        <v>0</v>
      </c>
    </row>
    <row r="148" spans="1:4" x14ac:dyDescent="0.2">
      <c r="A148" s="6" t="s">
        <v>6</v>
      </c>
      <c r="B148" s="456" t="s">
        <v>188</v>
      </c>
      <c r="C148" s="456"/>
      <c r="D148" s="8">
        <f>+D111</f>
        <v>0</v>
      </c>
    </row>
    <row r="149" spans="1:4" x14ac:dyDescent="0.2">
      <c r="A149" s="6" t="s">
        <v>25</v>
      </c>
      <c r="B149" s="456" t="s">
        <v>189</v>
      </c>
      <c r="C149" s="456"/>
      <c r="D149" s="8">
        <f>+D124</f>
        <v>0</v>
      </c>
    </row>
    <row r="150" spans="1:4" x14ac:dyDescent="0.2">
      <c r="B150" s="457" t="s">
        <v>192</v>
      </c>
      <c r="C150" s="457"/>
      <c r="D150" s="72">
        <f>SUM(D145:D149)</f>
        <v>0</v>
      </c>
    </row>
    <row r="151" spans="1:4" x14ac:dyDescent="0.2">
      <c r="A151" s="6" t="s">
        <v>26</v>
      </c>
      <c r="B151" s="456" t="s">
        <v>190</v>
      </c>
      <c r="C151" s="456"/>
      <c r="D151" s="8">
        <f>+D142</f>
        <v>0</v>
      </c>
    </row>
    <row r="153" spans="1:4" x14ac:dyDescent="0.2">
      <c r="A153" s="524" t="s">
        <v>191</v>
      </c>
      <c r="B153" s="524"/>
      <c r="C153" s="524"/>
      <c r="D153" s="82">
        <f>ROUND(+D151+D150,2)</f>
        <v>0</v>
      </c>
    </row>
    <row r="155" spans="1:4" x14ac:dyDescent="0.2">
      <c r="A155" s="459" t="s">
        <v>77</v>
      </c>
      <c r="B155" s="459"/>
      <c r="C155" s="459"/>
      <c r="D155" s="459"/>
    </row>
    <row r="157" spans="1:4" x14ac:dyDescent="0.2">
      <c r="A157" s="6" t="s">
        <v>3</v>
      </c>
      <c r="B157" s="6" t="s">
        <v>46</v>
      </c>
      <c r="C157" s="44" t="e">
        <f>+C29</f>
        <v>#DIV/0!</v>
      </c>
      <c r="D157" s="8">
        <f>+D29</f>
        <v>0</v>
      </c>
    </row>
    <row r="158" spans="1:4" x14ac:dyDescent="0.2">
      <c r="A158" s="6" t="s">
        <v>4</v>
      </c>
      <c r="B158" s="6" t="s">
        <v>45</v>
      </c>
      <c r="C158" s="44" t="e">
        <f>+C31</f>
        <v>#DIV/0!</v>
      </c>
      <c r="D158" s="8">
        <f>+D31</f>
        <v>0</v>
      </c>
    </row>
    <row r="159" spans="1:4" x14ac:dyDescent="0.2">
      <c r="A159" s="6" t="s">
        <v>5</v>
      </c>
      <c r="B159" s="6" t="s">
        <v>44</v>
      </c>
      <c r="C159" s="44" t="e">
        <f>+C32</f>
        <v>#DIV/0!</v>
      </c>
      <c r="D159" s="8">
        <f>+D32</f>
        <v>0</v>
      </c>
    </row>
    <row r="160" spans="1:4" ht="25.5" x14ac:dyDescent="0.2">
      <c r="A160" s="6" t="s">
        <v>6</v>
      </c>
      <c r="B160" s="30" t="s">
        <v>75</v>
      </c>
      <c r="C160" s="17" t="e">
        <f>+C75</f>
        <v>#DIV/0!</v>
      </c>
      <c r="D160" s="8">
        <f>+D75</f>
        <v>0</v>
      </c>
    </row>
    <row r="161" spans="1:5" ht="25.5" x14ac:dyDescent="0.2">
      <c r="A161" s="6" t="s">
        <v>25</v>
      </c>
      <c r="B161" s="30" t="s">
        <v>76</v>
      </c>
      <c r="C161" s="44" t="e">
        <f>+C78</f>
        <v>#DIV/0!</v>
      </c>
      <c r="D161" s="18">
        <f>+D78</f>
        <v>0</v>
      </c>
    </row>
    <row r="162" spans="1:5" x14ac:dyDescent="0.2">
      <c r="A162" s="6" t="s">
        <v>81</v>
      </c>
      <c r="B162" s="34" t="s">
        <v>79</v>
      </c>
      <c r="C162" s="458" t="e">
        <f>+(D162+D163+D164)/D23</f>
        <v>#DIV/0!</v>
      </c>
      <c r="D162" s="8">
        <f>ROUND(D29*(SUM($C$37:$C$44)),2)</f>
        <v>0</v>
      </c>
    </row>
    <row r="163" spans="1:5" x14ac:dyDescent="0.2">
      <c r="A163" s="6" t="s">
        <v>82</v>
      </c>
      <c r="B163" s="34" t="s">
        <v>78</v>
      </c>
      <c r="C163" s="458"/>
      <c r="D163" s="8">
        <f>ROUND(D31*(SUM($C$37:$C$44)),2)</f>
        <v>0</v>
      </c>
    </row>
    <row r="164" spans="1:5" x14ac:dyDescent="0.2">
      <c r="A164" s="6" t="s">
        <v>83</v>
      </c>
      <c r="B164" s="34" t="s">
        <v>80</v>
      </c>
      <c r="C164" s="458"/>
      <c r="D164" s="8">
        <f>ROUND(D32*(SUM($C$37:$C$44)),2)</f>
        <v>0</v>
      </c>
    </row>
    <row r="165" spans="1:5" x14ac:dyDescent="0.2">
      <c r="A165" s="460" t="s">
        <v>29</v>
      </c>
      <c r="B165" s="461"/>
      <c r="C165" s="462"/>
      <c r="D165" s="45">
        <f>SUM(D157:D164)</f>
        <v>0</v>
      </c>
    </row>
    <row r="166" spans="1:5" x14ac:dyDescent="0.2">
      <c r="B166" s="96"/>
      <c r="C166" s="96"/>
      <c r="D166" s="96"/>
    </row>
    <row r="167" spans="1:5" x14ac:dyDescent="0.2">
      <c r="A167" s="97"/>
      <c r="B167" s="97"/>
      <c r="C167" s="97"/>
      <c r="D167" s="97"/>
      <c r="E167" s="97"/>
    </row>
    <row r="168" spans="1:5" s="67" customFormat="1" x14ac:dyDescent="0.2">
      <c r="A168" s="452" t="s">
        <v>289</v>
      </c>
      <c r="B168" s="452"/>
      <c r="C168" s="452"/>
      <c r="D168" s="452"/>
      <c r="E168" s="128"/>
    </row>
    <row r="169" spans="1:5" x14ac:dyDescent="0.2">
      <c r="A169" s="97"/>
      <c r="B169" s="97"/>
      <c r="C169" s="97"/>
      <c r="D169" s="97"/>
      <c r="E169" s="97"/>
    </row>
    <row r="170" spans="1:5" ht="50.25" customHeight="1" x14ac:dyDescent="0.2">
      <c r="A170" s="453" t="s">
        <v>290</v>
      </c>
      <c r="B170" s="453"/>
      <c r="C170" s="453"/>
      <c r="D170" s="453"/>
      <c r="E170" s="97"/>
    </row>
    <row r="171" spans="1:5" x14ac:dyDescent="0.2">
      <c r="A171" s="97"/>
      <c r="B171" s="97"/>
      <c r="C171" s="97"/>
      <c r="D171" s="97"/>
      <c r="E171" s="97"/>
    </row>
    <row r="172" spans="1:5" x14ac:dyDescent="0.2">
      <c r="A172" s="97"/>
      <c r="B172" s="97"/>
      <c r="C172" s="97"/>
      <c r="D172" s="97"/>
      <c r="E172" s="97"/>
    </row>
    <row r="173" spans="1:5" x14ac:dyDescent="0.2">
      <c r="A173" s="97"/>
      <c r="B173" s="97"/>
      <c r="C173" s="97"/>
      <c r="D173" s="97"/>
      <c r="E173" s="97"/>
    </row>
    <row r="174" spans="1:5" x14ac:dyDescent="0.2">
      <c r="A174" s="97"/>
      <c r="B174" s="97"/>
      <c r="C174" s="97"/>
      <c r="D174" s="97"/>
      <c r="E174" s="97"/>
    </row>
    <row r="175" spans="1:5" x14ac:dyDescent="0.2">
      <c r="A175" s="97"/>
      <c r="B175" s="97"/>
      <c r="C175" s="97"/>
      <c r="D175" s="97"/>
      <c r="E175" s="97"/>
    </row>
    <row r="176" spans="1:5" x14ac:dyDescent="0.2">
      <c r="A176" s="97"/>
      <c r="B176" s="97"/>
      <c r="C176" s="97"/>
      <c r="D176" s="97"/>
      <c r="E176" s="97"/>
    </row>
    <row r="177" spans="1:5" x14ac:dyDescent="0.2">
      <c r="A177" s="97"/>
      <c r="B177" s="97"/>
      <c r="C177" s="97"/>
      <c r="D177" s="97"/>
      <c r="E177" s="97"/>
    </row>
    <row r="178" spans="1:5" x14ac:dyDescent="0.2">
      <c r="A178" s="97"/>
      <c r="B178" s="97"/>
      <c r="C178" s="97"/>
      <c r="D178" s="97"/>
      <c r="E178" s="97"/>
    </row>
    <row r="179" spans="1:5" x14ac:dyDescent="0.2">
      <c r="A179" s="97"/>
      <c r="B179" s="97"/>
      <c r="C179" s="97"/>
      <c r="D179" s="97"/>
      <c r="E179" s="97"/>
    </row>
    <row r="180" spans="1:5" x14ac:dyDescent="0.2">
      <c r="A180" s="97"/>
      <c r="B180" s="97"/>
      <c r="C180" s="97"/>
      <c r="D180" s="97"/>
      <c r="E180" s="97"/>
    </row>
    <row r="181" spans="1:5" x14ac:dyDescent="0.2">
      <c r="A181" s="97"/>
      <c r="B181" s="97"/>
      <c r="C181" s="97"/>
      <c r="D181" s="97"/>
      <c r="E181" s="97"/>
    </row>
    <row r="182" spans="1:5" x14ac:dyDescent="0.2">
      <c r="A182" s="97"/>
      <c r="B182" s="97"/>
      <c r="C182" s="97"/>
      <c r="D182" s="97"/>
      <c r="E182" s="97"/>
    </row>
    <row r="183" spans="1:5" x14ac:dyDescent="0.2">
      <c r="A183" s="97"/>
      <c r="B183" s="97"/>
      <c r="C183" s="97"/>
      <c r="D183" s="97"/>
      <c r="E183" s="97"/>
    </row>
    <row r="184" spans="1:5" x14ac:dyDescent="0.2">
      <c r="A184" s="97"/>
      <c r="B184" s="97"/>
      <c r="C184" s="97"/>
      <c r="D184" s="97"/>
      <c r="E184" s="97"/>
    </row>
  </sheetData>
  <mergeCells count="83">
    <mergeCell ref="A165:C165"/>
    <mergeCell ref="A168:D168"/>
    <mergeCell ref="B147:C147"/>
    <mergeCell ref="B148:C148"/>
    <mergeCell ref="B149:C149"/>
    <mergeCell ref="B150:C150"/>
    <mergeCell ref="B151:C151"/>
    <mergeCell ref="A170:D170"/>
    <mergeCell ref="B146:C146"/>
    <mergeCell ref="B116:C116"/>
    <mergeCell ref="B118:C118"/>
    <mergeCell ref="B120:C120"/>
    <mergeCell ref="B122:C122"/>
    <mergeCell ref="A124:C124"/>
    <mergeCell ref="A126:D126"/>
    <mergeCell ref="A131:C131"/>
    <mergeCell ref="A132:C132"/>
    <mergeCell ref="A142:B142"/>
    <mergeCell ref="A144:D144"/>
    <mergeCell ref="B145:C145"/>
    <mergeCell ref="A153:C153"/>
    <mergeCell ref="A155:D155"/>
    <mergeCell ref="C162:C164"/>
    <mergeCell ref="B115:C115"/>
    <mergeCell ref="B99:C99"/>
    <mergeCell ref="A100:C100"/>
    <mergeCell ref="B102:C102"/>
    <mergeCell ref="B103:C103"/>
    <mergeCell ref="A104:C104"/>
    <mergeCell ref="B107:C107"/>
    <mergeCell ref="B108:C108"/>
    <mergeCell ref="B109:C109"/>
    <mergeCell ref="B110:C110"/>
    <mergeCell ref="A111:C111"/>
    <mergeCell ref="A113:D113"/>
    <mergeCell ref="B98:C98"/>
    <mergeCell ref="B86:C86"/>
    <mergeCell ref="B87:C87"/>
    <mergeCell ref="B88:C88"/>
    <mergeCell ref="B89:C89"/>
    <mergeCell ref="B90:C90"/>
    <mergeCell ref="B91:C91"/>
    <mergeCell ref="B92:C92"/>
    <mergeCell ref="A93:C93"/>
    <mergeCell ref="B95:C95"/>
    <mergeCell ref="B96:C96"/>
    <mergeCell ref="B97:C97"/>
    <mergeCell ref="B85:C85"/>
    <mergeCell ref="A63:D63"/>
    <mergeCell ref="B64:C64"/>
    <mergeCell ref="B65:C65"/>
    <mergeCell ref="B66:C66"/>
    <mergeCell ref="B67:C67"/>
    <mergeCell ref="A68:C68"/>
    <mergeCell ref="A70:D70"/>
    <mergeCell ref="A79:C79"/>
    <mergeCell ref="A81:D81"/>
    <mergeCell ref="A83:D83"/>
    <mergeCell ref="B84:C84"/>
    <mergeCell ref="A61:B61"/>
    <mergeCell ref="B18:C18"/>
    <mergeCell ref="B19:C19"/>
    <mergeCell ref="B21:C21"/>
    <mergeCell ref="B22:C22"/>
    <mergeCell ref="A23:C23"/>
    <mergeCell ref="A25:D25"/>
    <mergeCell ref="A27:D27"/>
    <mergeCell ref="A33:C33"/>
    <mergeCell ref="A35:D35"/>
    <mergeCell ref="A47:D47"/>
    <mergeCell ref="B59:C59"/>
    <mergeCell ref="B17:C17"/>
    <mergeCell ref="A1:D1"/>
    <mergeCell ref="A3:D3"/>
    <mergeCell ref="C4:D4"/>
    <mergeCell ref="C5:D5"/>
    <mergeCell ref="C6:D6"/>
    <mergeCell ref="C7:D7"/>
    <mergeCell ref="C8:D8"/>
    <mergeCell ref="A10:D10"/>
    <mergeCell ref="B12:C12"/>
    <mergeCell ref="B15:C15"/>
    <mergeCell ref="B16:C16"/>
  </mergeCells>
  <pageMargins left="1.26" right="0.12" top="0.35" bottom="0.52" header="0.31496062992125984" footer="0.31496062992125984"/>
  <pageSetup paperSize="9" scale="90" orientation="portrait" r:id="rId1"/>
  <headerFooter>
    <oddFooter>&amp;A</oddFooter>
  </headerFooter>
  <rowBreaks count="1" manualBreakCount="1">
    <brk id="112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theme="6" tint="-0.249977111117893"/>
  </sheetPr>
  <dimension ref="A1:D230"/>
  <sheetViews>
    <sheetView workbookViewId="0">
      <selection activeCell="B11" sqref="B11"/>
    </sheetView>
  </sheetViews>
  <sheetFormatPr defaultRowHeight="12.75" x14ac:dyDescent="0.2"/>
  <cols>
    <col min="1" max="1" width="64.5" customWidth="1"/>
    <col min="2" max="2" width="12.25" bestFit="1" customWidth="1"/>
    <col min="3" max="3" width="11.875" bestFit="1" customWidth="1"/>
    <col min="4" max="4" width="9.375" bestFit="1" customWidth="1"/>
    <col min="5" max="5" width="69.125" customWidth="1"/>
  </cols>
  <sheetData>
    <row r="1" spans="1:3" ht="16.5" x14ac:dyDescent="0.25">
      <c r="A1" s="525" t="s">
        <v>333</v>
      </c>
      <c r="B1" s="525"/>
      <c r="C1" s="525"/>
    </row>
    <row r="3" spans="1:3" x14ac:dyDescent="0.2">
      <c r="A3" s="6" t="s">
        <v>102</v>
      </c>
      <c r="B3" s="6">
        <v>220</v>
      </c>
    </row>
    <row r="4" spans="1:3" x14ac:dyDescent="0.2">
      <c r="A4" s="6" t="s">
        <v>228</v>
      </c>
      <c r="B4" s="6">
        <v>365.25</v>
      </c>
    </row>
    <row r="5" spans="1:3" x14ac:dyDescent="0.2">
      <c r="A5" s="6" t="s">
        <v>230</v>
      </c>
      <c r="B5" s="51">
        <f>(365.25/12/2)/(7/7)</f>
        <v>15.21875</v>
      </c>
    </row>
    <row r="6" spans="1:3" x14ac:dyDescent="0.2">
      <c r="A6" s="34" t="s">
        <v>30</v>
      </c>
      <c r="B6" s="18">
        <f>+'Vigilante 12x36 Noturno Arm'!D12</f>
        <v>0</v>
      </c>
    </row>
    <row r="7" spans="1:3" x14ac:dyDescent="0.2">
      <c r="A7" s="34" t="s">
        <v>241</v>
      </c>
      <c r="B7" s="18">
        <f>+'Vigilante 12x36 Noturno Arm'!D23</f>
        <v>0</v>
      </c>
    </row>
    <row r="9" spans="1:3" x14ac:dyDescent="0.2">
      <c r="A9" s="503" t="s">
        <v>209</v>
      </c>
      <c r="B9" s="503"/>
      <c r="C9" s="503"/>
    </row>
    <row r="10" spans="1:3" x14ac:dyDescent="0.2">
      <c r="A10" s="6" t="s">
        <v>30</v>
      </c>
      <c r="B10" s="52"/>
      <c r="C10" s="90">
        <f>+'Vigilante 12x36 Noturno Arm'!D12</f>
        <v>0</v>
      </c>
    </row>
    <row r="11" spans="1:3" x14ac:dyDescent="0.2">
      <c r="A11" s="6" t="s">
        <v>31</v>
      </c>
      <c r="B11" s="52"/>
      <c r="C11" s="90">
        <f>+'Vigilante 12x36 Noturno Arm'!D13</f>
        <v>0</v>
      </c>
    </row>
    <row r="12" spans="1:3" x14ac:dyDescent="0.2">
      <c r="A12" s="6" t="s">
        <v>32</v>
      </c>
      <c r="B12" s="52"/>
      <c r="C12" s="90">
        <f>+'Vigilante 12x36 Noturno Arm'!D14</f>
        <v>0</v>
      </c>
    </row>
    <row r="13" spans="1:3" x14ac:dyDescent="0.2">
      <c r="A13" s="6" t="s">
        <v>33</v>
      </c>
      <c r="B13" s="52"/>
      <c r="C13" s="90">
        <f>+'Vigilante 12x36 Noturno Arm'!D15</f>
        <v>0</v>
      </c>
    </row>
    <row r="14" spans="1:3" x14ac:dyDescent="0.2">
      <c r="A14" s="6" t="s">
        <v>34</v>
      </c>
      <c r="B14" s="52"/>
      <c r="C14" s="90">
        <f>+'Vigilante 12x36 Noturno Arm'!D16</f>
        <v>0</v>
      </c>
    </row>
    <row r="15" spans="1:3" x14ac:dyDescent="0.2">
      <c r="A15" t="s">
        <v>65</v>
      </c>
      <c r="B15" s="52"/>
      <c r="C15" s="90">
        <f>+'Vigilante 12x36 Noturno Arm'!D20</f>
        <v>0</v>
      </c>
    </row>
    <row r="16" spans="1:3" x14ac:dyDescent="0.2">
      <c r="A16" s="35" t="s">
        <v>193</v>
      </c>
      <c r="B16" s="101"/>
      <c r="C16" s="102">
        <f>SUM(C10:C15)</f>
        <v>0</v>
      </c>
    </row>
    <row r="17" spans="1:3" x14ac:dyDescent="0.2">
      <c r="A17" s="6" t="s">
        <v>102</v>
      </c>
      <c r="B17" s="57">
        <f>+B3</f>
        <v>220</v>
      </c>
      <c r="C17" s="54"/>
    </row>
    <row r="18" spans="1:3" x14ac:dyDescent="0.2">
      <c r="A18" s="35" t="s">
        <v>103</v>
      </c>
      <c r="B18" s="101"/>
      <c r="C18" s="36">
        <f>+C16/B17</f>
        <v>0</v>
      </c>
    </row>
    <row r="19" spans="1:3" x14ac:dyDescent="0.2">
      <c r="A19" s="6" t="s">
        <v>197</v>
      </c>
      <c r="B19" s="6">
        <v>16</v>
      </c>
      <c r="C19" s="54"/>
    </row>
    <row r="20" spans="1:3" x14ac:dyDescent="0.2">
      <c r="A20" s="6" t="s">
        <v>198</v>
      </c>
      <c r="B20" s="6">
        <v>12</v>
      </c>
      <c r="C20" s="54"/>
    </row>
    <row r="21" spans="1:3" x14ac:dyDescent="0.2">
      <c r="A21" s="6" t="s">
        <v>199</v>
      </c>
      <c r="B21" s="6">
        <f>+B20*B19</f>
        <v>192</v>
      </c>
      <c r="C21" s="8">
        <f>+B21*C18</f>
        <v>0</v>
      </c>
    </row>
    <row r="22" spans="1:3" x14ac:dyDescent="0.2">
      <c r="A22" s="6" t="s">
        <v>200</v>
      </c>
      <c r="B22" s="17">
        <v>0.5</v>
      </c>
      <c r="C22" s="8">
        <f>+B22*C21</f>
        <v>0</v>
      </c>
    </row>
    <row r="23" spans="1:3" x14ac:dyDescent="0.2">
      <c r="A23" s="6" t="s">
        <v>201</v>
      </c>
      <c r="B23" s="17">
        <v>1</v>
      </c>
      <c r="C23" s="8">
        <f>+B23*C22</f>
        <v>0</v>
      </c>
    </row>
    <row r="24" spans="1:3" x14ac:dyDescent="0.2">
      <c r="A24" s="6" t="s">
        <v>202</v>
      </c>
      <c r="B24" s="6">
        <v>12</v>
      </c>
      <c r="C24" s="91"/>
    </row>
    <row r="25" spans="1:3" x14ac:dyDescent="0.2">
      <c r="A25" s="504" t="s">
        <v>203</v>
      </c>
      <c r="B25" s="505"/>
      <c r="C25" s="45">
        <f>+C23/B24</f>
        <v>0</v>
      </c>
    </row>
    <row r="26" spans="1:3" x14ac:dyDescent="0.2">
      <c r="C26" s="15"/>
    </row>
    <row r="27" spans="1:3" x14ac:dyDescent="0.2">
      <c r="A27" s="503" t="s">
        <v>210</v>
      </c>
      <c r="B27" s="503"/>
      <c r="C27" s="503"/>
    </row>
    <row r="28" spans="1:3" x14ac:dyDescent="0.2">
      <c r="A28" s="6" t="s">
        <v>103</v>
      </c>
      <c r="B28" s="52"/>
      <c r="C28" s="90">
        <f>+C18</f>
        <v>0</v>
      </c>
    </row>
    <row r="29" spans="1:3" x14ac:dyDescent="0.2">
      <c r="A29" s="6" t="s">
        <v>199</v>
      </c>
      <c r="B29" s="6">
        <v>192</v>
      </c>
      <c r="C29" s="54"/>
    </row>
    <row r="30" spans="1:3" x14ac:dyDescent="0.2">
      <c r="A30" s="6" t="s">
        <v>204</v>
      </c>
      <c r="B30" s="6">
        <f>+$B$4</f>
        <v>365.25</v>
      </c>
      <c r="C30" s="54"/>
    </row>
    <row r="31" spans="1:3" x14ac:dyDescent="0.2">
      <c r="A31" s="6" t="s">
        <v>197</v>
      </c>
      <c r="B31" s="6">
        <v>16</v>
      </c>
      <c r="C31" s="54"/>
    </row>
    <row r="32" spans="1:3" x14ac:dyDescent="0.2">
      <c r="A32" s="6" t="s">
        <v>200</v>
      </c>
      <c r="B32" s="17">
        <v>0.5</v>
      </c>
      <c r="C32" s="54"/>
    </row>
    <row r="33" spans="1:3" x14ac:dyDescent="0.2">
      <c r="A33" s="6" t="s">
        <v>205</v>
      </c>
      <c r="B33" s="92">
        <f>ROUND(((B30/7)*6)-B31,2)</f>
        <v>297.07</v>
      </c>
      <c r="C33" s="54"/>
    </row>
    <row r="34" spans="1:3" x14ac:dyDescent="0.2">
      <c r="A34" s="6" t="s">
        <v>206</v>
      </c>
      <c r="B34" s="34">
        <v>12</v>
      </c>
      <c r="C34" s="54"/>
    </row>
    <row r="35" spans="1:3" ht="25.5" x14ac:dyDescent="0.2">
      <c r="A35" s="30" t="s">
        <v>207</v>
      </c>
      <c r="B35" s="6">
        <f>+((B29/B34)*B32)/B33</f>
        <v>2.6929679873430507E-2</v>
      </c>
      <c r="C35" s="54"/>
    </row>
    <row r="36" spans="1:3" x14ac:dyDescent="0.2">
      <c r="A36" s="24" t="s">
        <v>208</v>
      </c>
      <c r="B36" s="24"/>
      <c r="C36" s="45">
        <f>+C28*(B30-B33)*B35</f>
        <v>0</v>
      </c>
    </row>
    <row r="37" spans="1:3" x14ac:dyDescent="0.2">
      <c r="C37" s="15"/>
    </row>
    <row r="38" spans="1:3" x14ac:dyDescent="0.2">
      <c r="A38" s="459" t="s">
        <v>107</v>
      </c>
      <c r="B38" s="459"/>
      <c r="C38" s="459"/>
    </row>
    <row r="39" spans="1:3" x14ac:dyDescent="0.2">
      <c r="A39" s="55" t="s">
        <v>30</v>
      </c>
      <c r="B39" s="86"/>
      <c r="C39" s="56">
        <f>+'Vigilante 12x36 Noturno Arm'!D12</f>
        <v>0</v>
      </c>
    </row>
    <row r="40" spans="1:3" x14ac:dyDescent="0.2">
      <c r="A40" s="55" t="s">
        <v>31</v>
      </c>
      <c r="B40" s="58"/>
      <c r="C40" s="56">
        <f>+'Vigilante 12x36 Noturno Arm'!D13</f>
        <v>0</v>
      </c>
    </row>
    <row r="41" spans="1:3" x14ac:dyDescent="0.2">
      <c r="A41" s="55" t="s">
        <v>32</v>
      </c>
      <c r="B41" s="58"/>
      <c r="C41" s="56">
        <f>+'Vigilante 12x36 Noturno Arm'!D14</f>
        <v>0</v>
      </c>
    </row>
    <row r="42" spans="1:3" x14ac:dyDescent="0.2">
      <c r="A42" s="55" t="s">
        <v>33</v>
      </c>
      <c r="B42" s="58"/>
      <c r="C42" s="56">
        <f>+'Vigilante 12x36 Noturno Arm'!D15</f>
        <v>0</v>
      </c>
    </row>
    <row r="43" spans="1:3" x14ac:dyDescent="0.2">
      <c r="A43" s="55" t="s">
        <v>34</v>
      </c>
      <c r="B43" s="58"/>
      <c r="C43" s="56">
        <f>+'Vigilante 12x36 Noturno Arm'!D16</f>
        <v>0</v>
      </c>
    </row>
    <row r="44" spans="1:3" x14ac:dyDescent="0.2">
      <c r="A44" s="55" t="s">
        <v>35</v>
      </c>
      <c r="B44" s="58"/>
      <c r="C44" s="56">
        <f>+'Vigilante 12x36 Noturno Arm'!D18</f>
        <v>0</v>
      </c>
    </row>
    <row r="45" spans="1:3" x14ac:dyDescent="0.2">
      <c r="A45" s="55" t="s">
        <v>65</v>
      </c>
      <c r="B45" s="58"/>
      <c r="C45" s="56">
        <f>+'Vigilante 12x36 Noturno Arm'!D20</f>
        <v>0</v>
      </c>
    </row>
    <row r="46" spans="1:3" x14ac:dyDescent="0.2">
      <c r="A46" s="35" t="s">
        <v>101</v>
      </c>
      <c r="B46" s="99"/>
      <c r="C46" s="100">
        <f>SUM(C39:C45)</f>
        <v>0</v>
      </c>
    </row>
    <row r="47" spans="1:3" x14ac:dyDescent="0.2">
      <c r="A47" s="6" t="s">
        <v>102</v>
      </c>
      <c r="B47" s="57">
        <f>+B3</f>
        <v>220</v>
      </c>
      <c r="C47" s="58"/>
    </row>
    <row r="48" spans="1:3" x14ac:dyDescent="0.2">
      <c r="A48" s="6" t="s">
        <v>103</v>
      </c>
      <c r="B48" s="58"/>
      <c r="C48" s="59">
        <f>ROUND(+C46/B47,2)</f>
        <v>0</v>
      </c>
    </row>
    <row r="49" spans="1:3" x14ac:dyDescent="0.2">
      <c r="A49" s="6" t="s">
        <v>229</v>
      </c>
      <c r="B49" s="51">
        <f>(365.25/12/2)/(7/7)</f>
        <v>15.21875</v>
      </c>
      <c r="C49" s="58"/>
    </row>
    <row r="50" spans="1:3" x14ac:dyDescent="0.2">
      <c r="A50" s="6" t="s">
        <v>105</v>
      </c>
      <c r="B50" s="17">
        <v>0.5</v>
      </c>
      <c r="C50" s="6"/>
    </row>
    <row r="51" spans="1:3" x14ac:dyDescent="0.2">
      <c r="A51" s="504" t="s">
        <v>106</v>
      </c>
      <c r="B51" s="505"/>
      <c r="C51" s="45">
        <f>ROUND((B49*C48)*(1+B50),2)</f>
        <v>0</v>
      </c>
    </row>
    <row r="53" spans="1:3" x14ac:dyDescent="0.2">
      <c r="A53" s="459" t="s">
        <v>212</v>
      </c>
      <c r="B53" s="459"/>
      <c r="C53" s="459"/>
    </row>
    <row r="54" spans="1:3" x14ac:dyDescent="0.2">
      <c r="A54" s="6" t="s">
        <v>204</v>
      </c>
      <c r="B54" s="6">
        <v>365.25</v>
      </c>
      <c r="C54" s="52"/>
    </row>
    <row r="55" spans="1:3" x14ac:dyDescent="0.2">
      <c r="A55" s="6" t="s">
        <v>206</v>
      </c>
      <c r="B55" s="34">
        <v>12</v>
      </c>
      <c r="C55" s="52"/>
    </row>
    <row r="56" spans="1:3" x14ac:dyDescent="0.2">
      <c r="A56" s="6" t="s">
        <v>213</v>
      </c>
      <c r="B56" s="17">
        <v>0.5</v>
      </c>
      <c r="C56" s="52"/>
    </row>
    <row r="57" spans="1:3" x14ac:dyDescent="0.2">
      <c r="A57" s="103" t="s">
        <v>404</v>
      </c>
      <c r="B57" s="34">
        <v>7</v>
      </c>
      <c r="C57" s="52"/>
    </row>
    <row r="58" spans="1:3" x14ac:dyDescent="0.2">
      <c r="A58" s="34" t="s">
        <v>214</v>
      </c>
      <c r="B58" s="52"/>
      <c r="C58" s="18">
        <f>+'Vigilante 12x36 Noturno Arm'!$D$12</f>
        <v>0</v>
      </c>
    </row>
    <row r="59" spans="1:3" x14ac:dyDescent="0.2">
      <c r="A59" s="34" t="s">
        <v>31</v>
      </c>
      <c r="B59" s="52"/>
      <c r="C59" s="18">
        <f>+'Vigilante 12x36 Noturno Arm'!$D$13</f>
        <v>0</v>
      </c>
    </row>
    <row r="60" spans="1:3" x14ac:dyDescent="0.2">
      <c r="A60" s="34" t="s">
        <v>32</v>
      </c>
      <c r="B60" s="52"/>
      <c r="C60" s="18">
        <f>+'Vigilante 12x36 Noturno Arm'!$D$14</f>
        <v>0</v>
      </c>
    </row>
    <row r="61" spans="1:3" x14ac:dyDescent="0.2">
      <c r="A61" s="104" t="s">
        <v>193</v>
      </c>
      <c r="B61" s="52"/>
      <c r="C61" s="105">
        <f>SUM(C58:C60)</f>
        <v>0</v>
      </c>
    </row>
    <row r="62" spans="1:3" x14ac:dyDescent="0.2">
      <c r="A62" s="6" t="s">
        <v>102</v>
      </c>
      <c r="B62" s="106">
        <f>+B3</f>
        <v>220</v>
      </c>
      <c r="C62" s="52"/>
    </row>
    <row r="63" spans="1:3" x14ac:dyDescent="0.2">
      <c r="A63" s="34" t="s">
        <v>215</v>
      </c>
      <c r="B63" s="17">
        <v>0.2</v>
      </c>
      <c r="C63" s="52"/>
    </row>
    <row r="64" spans="1:3" x14ac:dyDescent="0.2">
      <c r="A64" s="34" t="s">
        <v>216</v>
      </c>
      <c r="B64" s="52"/>
      <c r="C64" s="8">
        <f>ROUND((C61/B62)*B63,2)</f>
        <v>0</v>
      </c>
    </row>
    <row r="65" spans="1:3" x14ac:dyDescent="0.2">
      <c r="A65" s="34" t="s">
        <v>217</v>
      </c>
      <c r="B65" s="6">
        <f>ROUND(+B54/B55*B56*B57,0)</f>
        <v>107</v>
      </c>
      <c r="C65" s="53"/>
    </row>
    <row r="66" spans="1:3" x14ac:dyDescent="0.2">
      <c r="A66" s="506" t="s">
        <v>218</v>
      </c>
      <c r="B66" s="506"/>
      <c r="C66" s="32">
        <f>ROUND(+B65*C64,2)</f>
        <v>0</v>
      </c>
    </row>
    <row r="68" spans="1:3" x14ac:dyDescent="0.2">
      <c r="A68" s="503" t="s">
        <v>232</v>
      </c>
      <c r="B68" s="503"/>
      <c r="C68" s="503"/>
    </row>
    <row r="69" spans="1:3" x14ac:dyDescent="0.2">
      <c r="A69" s="6" t="s">
        <v>103</v>
      </c>
      <c r="B69" s="52"/>
      <c r="C69" s="90">
        <f>+C66</f>
        <v>0</v>
      </c>
    </row>
    <row r="70" spans="1:3" x14ac:dyDescent="0.2">
      <c r="A70" s="6" t="s">
        <v>199</v>
      </c>
      <c r="B70" s="6">
        <v>192</v>
      </c>
      <c r="C70" s="54"/>
    </row>
    <row r="71" spans="1:3" x14ac:dyDescent="0.2">
      <c r="A71" s="6" t="s">
        <v>204</v>
      </c>
      <c r="B71" s="6">
        <f>+$B$4</f>
        <v>365.25</v>
      </c>
      <c r="C71" s="54"/>
    </row>
    <row r="72" spans="1:3" x14ac:dyDescent="0.2">
      <c r="A72" s="6" t="s">
        <v>197</v>
      </c>
      <c r="B72" s="6">
        <v>16</v>
      </c>
      <c r="C72" s="54"/>
    </row>
    <row r="73" spans="1:3" x14ac:dyDescent="0.2">
      <c r="A73" s="6" t="s">
        <v>200</v>
      </c>
      <c r="B73" s="17">
        <v>0.5</v>
      </c>
      <c r="C73" s="54"/>
    </row>
    <row r="74" spans="1:3" x14ac:dyDescent="0.2">
      <c r="A74" s="6" t="s">
        <v>205</v>
      </c>
      <c r="B74" s="92">
        <f>ROUND(((B71/7)*6)-B72,2)</f>
        <v>297.07</v>
      </c>
      <c r="C74" s="54"/>
    </row>
    <row r="75" spans="1:3" x14ac:dyDescent="0.2">
      <c r="A75" s="6" t="s">
        <v>206</v>
      </c>
      <c r="B75" s="34">
        <v>12</v>
      </c>
      <c r="C75" s="54"/>
    </row>
    <row r="76" spans="1:3" ht="25.5" x14ac:dyDescent="0.2">
      <c r="A76" s="30" t="s">
        <v>207</v>
      </c>
      <c r="B76" s="6">
        <f>+((B70/B75)*B73)/B74</f>
        <v>2.6929679873430507E-2</v>
      </c>
      <c r="C76" s="54"/>
    </row>
    <row r="77" spans="1:3" x14ac:dyDescent="0.2">
      <c r="A77" s="24" t="s">
        <v>208</v>
      </c>
      <c r="B77" s="24"/>
      <c r="C77" s="45">
        <f>+C69/B70*(B71-B74)*B76</f>
        <v>0</v>
      </c>
    </row>
    <row r="79" spans="1:3" x14ac:dyDescent="0.2">
      <c r="A79" s="459" t="s">
        <v>219</v>
      </c>
      <c r="B79" s="459"/>
      <c r="C79" s="459"/>
    </row>
    <row r="80" spans="1:3" x14ac:dyDescent="0.2">
      <c r="A80" s="6" t="s">
        <v>204</v>
      </c>
      <c r="B80" s="6">
        <f>+$B$4</f>
        <v>365.25</v>
      </c>
      <c r="C80" s="52"/>
    </row>
    <row r="81" spans="1:4" x14ac:dyDescent="0.2">
      <c r="A81" s="6" t="s">
        <v>206</v>
      </c>
      <c r="B81" s="34">
        <v>12</v>
      </c>
      <c r="C81" s="52"/>
    </row>
    <row r="82" spans="1:4" x14ac:dyDescent="0.2">
      <c r="A82" s="6" t="s">
        <v>213</v>
      </c>
      <c r="B82" s="17">
        <v>0.5</v>
      </c>
      <c r="C82" s="52"/>
      <c r="D82" s="109"/>
    </row>
    <row r="83" spans="1:4" x14ac:dyDescent="0.2">
      <c r="A83" s="103" t="s">
        <v>404</v>
      </c>
      <c r="B83" s="34">
        <v>7</v>
      </c>
      <c r="C83" s="52"/>
      <c r="D83" s="109"/>
    </row>
    <row r="84" spans="1:4" x14ac:dyDescent="0.2">
      <c r="A84" s="34" t="s">
        <v>220</v>
      </c>
      <c r="B84" s="51">
        <f>(365.25/12/2)/(7/7)</f>
        <v>15.21875</v>
      </c>
      <c r="C84" s="6"/>
      <c r="D84" s="109"/>
    </row>
    <row r="85" spans="1:4" x14ac:dyDescent="0.2">
      <c r="A85" s="34" t="s">
        <v>221</v>
      </c>
      <c r="B85" s="6">
        <f>ROUND(+B84*B83,2)</f>
        <v>106.53</v>
      </c>
      <c r="C85" s="6"/>
    </row>
    <row r="86" spans="1:4" x14ac:dyDescent="0.2">
      <c r="A86" s="34" t="s">
        <v>214</v>
      </c>
      <c r="B86" s="52"/>
      <c r="C86" s="18">
        <f>+'Vigilante 12x36 Noturno Arm'!$D$12</f>
        <v>0</v>
      </c>
    </row>
    <row r="87" spans="1:4" x14ac:dyDescent="0.2">
      <c r="A87" s="34" t="s">
        <v>31</v>
      </c>
      <c r="B87" s="52"/>
      <c r="C87" s="18">
        <f>+'Vigilante 12x36 Noturno Arm'!$D$13</f>
        <v>0</v>
      </c>
    </row>
    <row r="88" spans="1:4" x14ac:dyDescent="0.2">
      <c r="A88" s="34" t="s">
        <v>32</v>
      </c>
      <c r="B88" s="52"/>
      <c r="C88" s="18">
        <f>+'Vigilante 12x36 Noturno Arm'!$D$14</f>
        <v>0</v>
      </c>
    </row>
    <row r="89" spans="1:4" x14ac:dyDescent="0.2">
      <c r="A89" s="104" t="s">
        <v>193</v>
      </c>
      <c r="B89" s="52"/>
      <c r="C89" s="105">
        <f>SUM(C86:C88)</f>
        <v>0</v>
      </c>
      <c r="D89" s="88"/>
    </row>
    <row r="90" spans="1:4" x14ac:dyDescent="0.2">
      <c r="A90" s="6" t="s">
        <v>102</v>
      </c>
      <c r="B90" s="106">
        <f>+B3</f>
        <v>220</v>
      </c>
      <c r="C90" s="52"/>
    </row>
    <row r="91" spans="1:4" x14ac:dyDescent="0.2">
      <c r="A91" s="34" t="s">
        <v>215</v>
      </c>
      <c r="B91" s="17">
        <v>0.2</v>
      </c>
      <c r="C91" s="52"/>
    </row>
    <row r="92" spans="1:4" x14ac:dyDescent="0.2">
      <c r="A92" s="34" t="s">
        <v>216</v>
      </c>
      <c r="B92" s="52"/>
      <c r="C92" s="8">
        <f>ROUND((C89/B90)*B91,2)</f>
        <v>0</v>
      </c>
    </row>
    <row r="93" spans="1:4" x14ac:dyDescent="0.2">
      <c r="A93" s="34" t="s">
        <v>223</v>
      </c>
      <c r="B93" s="6">
        <v>60</v>
      </c>
      <c r="C93" s="52"/>
    </row>
    <row r="94" spans="1:4" x14ac:dyDescent="0.2">
      <c r="A94" s="34" t="s">
        <v>222</v>
      </c>
      <c r="B94" s="6">
        <v>52.5</v>
      </c>
      <c r="C94" s="52"/>
    </row>
    <row r="95" spans="1:4" x14ac:dyDescent="0.2">
      <c r="A95" s="34" t="s">
        <v>224</v>
      </c>
      <c r="B95" s="6">
        <f>+B93/B94</f>
        <v>1.1428571428571428</v>
      </c>
      <c r="C95" s="52"/>
    </row>
    <row r="96" spans="1:4" x14ac:dyDescent="0.2">
      <c r="A96" s="34" t="s">
        <v>225</v>
      </c>
      <c r="B96" s="6">
        <f>ROUND(+B95*B85,2)</f>
        <v>121.75</v>
      </c>
      <c r="C96" s="52"/>
    </row>
    <row r="97" spans="1:3" x14ac:dyDescent="0.2">
      <c r="A97" s="34" t="s">
        <v>226</v>
      </c>
      <c r="B97" s="6">
        <f>ROUND(B96-B85,2)</f>
        <v>15.22</v>
      </c>
      <c r="C97" s="53"/>
    </row>
    <row r="98" spans="1:3" x14ac:dyDescent="0.2">
      <c r="A98" s="494" t="s">
        <v>227</v>
      </c>
      <c r="B98" s="494"/>
      <c r="C98" s="71">
        <f>+B97*C92</f>
        <v>0</v>
      </c>
    </row>
    <row r="100" spans="1:3" x14ac:dyDescent="0.2">
      <c r="A100" s="459" t="s">
        <v>233</v>
      </c>
      <c r="B100" s="459"/>
      <c r="C100" s="459"/>
    </row>
    <row r="101" spans="1:3" x14ac:dyDescent="0.2">
      <c r="A101" s="6" t="s">
        <v>204</v>
      </c>
      <c r="B101" s="6">
        <f>+$B$4</f>
        <v>365.25</v>
      </c>
      <c r="C101" s="52"/>
    </row>
    <row r="102" spans="1:3" x14ac:dyDescent="0.2">
      <c r="A102" s="6" t="s">
        <v>206</v>
      </c>
      <c r="B102" s="34">
        <v>12</v>
      </c>
      <c r="C102" s="52"/>
    </row>
    <row r="103" spans="1:3" x14ac:dyDescent="0.2">
      <c r="A103" s="6" t="s">
        <v>213</v>
      </c>
      <c r="B103" s="17">
        <v>0.5</v>
      </c>
      <c r="C103" s="52"/>
    </row>
    <row r="104" spans="1:3" x14ac:dyDescent="0.2">
      <c r="A104" s="34" t="s">
        <v>234</v>
      </c>
      <c r="B104" s="6">
        <f>ROUND((B101/B102)*B103,2)</f>
        <v>15.22</v>
      </c>
      <c r="C104" s="52"/>
    </row>
    <row r="105" spans="1:3" x14ac:dyDescent="0.2">
      <c r="A105" s="205" t="s">
        <v>235</v>
      </c>
      <c r="B105" s="206"/>
      <c r="C105" s="52"/>
    </row>
    <row r="106" spans="1:3" x14ac:dyDescent="0.2">
      <c r="A106" s="34" t="s">
        <v>236</v>
      </c>
      <c r="B106" s="29">
        <v>0.06</v>
      </c>
      <c r="C106" s="52"/>
    </row>
    <row r="107" spans="1:3" x14ac:dyDescent="0.2">
      <c r="A107" s="504" t="s">
        <v>237</v>
      </c>
      <c r="B107" s="505"/>
      <c r="C107" s="45">
        <f>ROUND((B104*(B105*2)-($B$6*B106)),2)</f>
        <v>0</v>
      </c>
    </row>
    <row r="109" spans="1:3" x14ac:dyDescent="0.2">
      <c r="A109" s="459" t="s">
        <v>238</v>
      </c>
      <c r="B109" s="459"/>
      <c r="C109" s="459"/>
    </row>
    <row r="110" spans="1:3" x14ac:dyDescent="0.2">
      <c r="A110" s="6" t="s">
        <v>204</v>
      </c>
      <c r="B110" s="6">
        <f>+$B$4</f>
        <v>365.25</v>
      </c>
      <c r="C110" s="52"/>
    </row>
    <row r="111" spans="1:3" x14ac:dyDescent="0.2">
      <c r="A111" s="6" t="s">
        <v>206</v>
      </c>
      <c r="B111" s="34">
        <v>12</v>
      </c>
      <c r="C111" s="52"/>
    </row>
    <row r="112" spans="1:3" x14ac:dyDescent="0.2">
      <c r="A112" s="6" t="s">
        <v>213</v>
      </c>
      <c r="B112" s="17">
        <v>0.5</v>
      </c>
      <c r="C112" s="52"/>
    </row>
    <row r="113" spans="1:3" x14ac:dyDescent="0.2">
      <c r="A113" s="34" t="s">
        <v>234</v>
      </c>
      <c r="B113" s="6">
        <f>ROUND((B110/B111)*B112,2)</f>
        <v>15.22</v>
      </c>
      <c r="C113" s="52"/>
    </row>
    <row r="114" spans="1:3" x14ac:dyDescent="0.2">
      <c r="A114" s="205" t="s">
        <v>239</v>
      </c>
      <c r="B114" s="206"/>
      <c r="C114" s="52"/>
    </row>
    <row r="115" spans="1:3" x14ac:dyDescent="0.2">
      <c r="A115" s="34" t="s">
        <v>366</v>
      </c>
      <c r="B115" s="29">
        <v>0.2</v>
      </c>
      <c r="C115" s="52"/>
    </row>
    <row r="116" spans="1:3" x14ac:dyDescent="0.2">
      <c r="A116" s="504" t="s">
        <v>239</v>
      </c>
      <c r="B116" s="505"/>
      <c r="C116" s="45">
        <f>ROUND((B113*(B114)-((B113*B114)*B115)),2)</f>
        <v>0</v>
      </c>
    </row>
    <row r="118" spans="1:3" x14ac:dyDescent="0.2">
      <c r="A118" s="459" t="s">
        <v>240</v>
      </c>
      <c r="B118" s="459"/>
      <c r="C118" s="459"/>
    </row>
    <row r="119" spans="1:3" x14ac:dyDescent="0.2">
      <c r="A119" s="6" t="s">
        <v>242</v>
      </c>
      <c r="B119" s="18">
        <f>+B7</f>
        <v>0</v>
      </c>
      <c r="C119" s="52"/>
    </row>
    <row r="120" spans="1:3" x14ac:dyDescent="0.2">
      <c r="A120" s="6" t="s">
        <v>243</v>
      </c>
      <c r="B120" s="6">
        <v>12</v>
      </c>
      <c r="C120" s="52"/>
    </row>
    <row r="121" spans="1:3" x14ac:dyDescent="0.2">
      <c r="A121" s="116" t="s">
        <v>244</v>
      </c>
      <c r="B121" s="114"/>
      <c r="C121" s="52"/>
    </row>
    <row r="122" spans="1:3" x14ac:dyDescent="0.2">
      <c r="A122" s="494" t="s">
        <v>245</v>
      </c>
      <c r="B122" s="494"/>
      <c r="C122" s="45">
        <f>ROUND(+(B119/B120)*B121,2)</f>
        <v>0</v>
      </c>
    </row>
    <row r="124" spans="1:3" x14ac:dyDescent="0.2">
      <c r="A124" s="507" t="s">
        <v>246</v>
      </c>
      <c r="B124" s="508"/>
      <c r="C124" s="509"/>
    </row>
    <row r="125" spans="1:3" s="60" customFormat="1" x14ac:dyDescent="0.2">
      <c r="A125" s="117" t="s">
        <v>251</v>
      </c>
      <c r="B125" s="114">
        <f>+B121</f>
        <v>0</v>
      </c>
      <c r="C125" s="52"/>
    </row>
    <row r="126" spans="1:3" x14ac:dyDescent="0.2">
      <c r="A126" s="6" t="s">
        <v>247</v>
      </c>
      <c r="B126" s="18">
        <f>+'Vigilante 12x36 Noturno Arm'!$D$23</f>
        <v>0</v>
      </c>
      <c r="C126" s="52"/>
    </row>
    <row r="127" spans="1:3" x14ac:dyDescent="0.2">
      <c r="A127" s="6" t="s">
        <v>46</v>
      </c>
      <c r="B127" s="18">
        <f>+'Vigilante 12x36 Noturno Arm'!$D$29</f>
        <v>0</v>
      </c>
      <c r="C127" s="52"/>
    </row>
    <row r="128" spans="1:3" x14ac:dyDescent="0.2">
      <c r="A128" s="111" t="s">
        <v>45</v>
      </c>
      <c r="B128" s="18">
        <f>+'Vigilante 12x36 Noturno Arm'!$D$31</f>
        <v>0</v>
      </c>
      <c r="C128" s="52"/>
    </row>
    <row r="129" spans="1:3" x14ac:dyDescent="0.2">
      <c r="A129" s="111" t="s">
        <v>44</v>
      </c>
      <c r="B129" s="18">
        <f>+'Vigilante 12x36 Noturno Arm'!$D$32</f>
        <v>0</v>
      </c>
      <c r="C129" s="52"/>
    </row>
    <row r="130" spans="1:3" x14ac:dyDescent="0.2">
      <c r="A130" s="104" t="s">
        <v>248</v>
      </c>
      <c r="B130" s="105">
        <f>SUM(B126:B129)</f>
        <v>0</v>
      </c>
      <c r="C130" s="52"/>
    </row>
    <row r="131" spans="1:3" x14ac:dyDescent="0.2">
      <c r="A131" s="25" t="s">
        <v>249</v>
      </c>
      <c r="B131" s="17">
        <v>0.4</v>
      </c>
      <c r="C131" s="52"/>
    </row>
    <row r="132" spans="1:3" x14ac:dyDescent="0.2">
      <c r="A132" s="25" t="s">
        <v>250</v>
      </c>
      <c r="B132" s="17">
        <f>+'Vigilante 12x36 Noturno Arm'!$C$44</f>
        <v>0.08</v>
      </c>
      <c r="C132" s="52"/>
    </row>
    <row r="133" spans="1:3" x14ac:dyDescent="0.2">
      <c r="A133" s="510" t="s">
        <v>252</v>
      </c>
      <c r="B133" s="510"/>
      <c r="C133" s="73">
        <f>ROUND(+B130*B131*B132*B125,2)</f>
        <v>0</v>
      </c>
    </row>
    <row r="134" spans="1:3" x14ac:dyDescent="0.2">
      <c r="A134" s="25" t="s">
        <v>253</v>
      </c>
      <c r="B134" s="17">
        <v>0.1</v>
      </c>
      <c r="C134" s="52"/>
    </row>
    <row r="135" spans="1:3" x14ac:dyDescent="0.2">
      <c r="A135" s="510" t="s">
        <v>254</v>
      </c>
      <c r="B135" s="510"/>
      <c r="C135" s="112">
        <f>ROUND(B134*B132*B130*B125,2)</f>
        <v>0</v>
      </c>
    </row>
    <row r="136" spans="1:3" x14ac:dyDescent="0.2">
      <c r="A136" s="504" t="s">
        <v>255</v>
      </c>
      <c r="B136" s="505"/>
      <c r="C136" s="71">
        <f>+C135+C133</f>
        <v>0</v>
      </c>
    </row>
    <row r="138" spans="1:3" x14ac:dyDescent="0.2">
      <c r="A138" s="459" t="s">
        <v>256</v>
      </c>
      <c r="B138" s="459"/>
      <c r="C138" s="459"/>
    </row>
    <row r="139" spans="1:3" x14ac:dyDescent="0.2">
      <c r="A139" s="6" t="s">
        <v>242</v>
      </c>
      <c r="B139" s="18">
        <f>+B7</f>
        <v>0</v>
      </c>
      <c r="C139" s="52"/>
    </row>
    <row r="140" spans="1:3" x14ac:dyDescent="0.2">
      <c r="A140" s="6" t="s">
        <v>257</v>
      </c>
      <c r="B140" s="113">
        <v>30</v>
      </c>
      <c r="C140" s="52"/>
    </row>
    <row r="141" spans="1:3" x14ac:dyDescent="0.2">
      <c r="A141" s="6" t="s">
        <v>243</v>
      </c>
      <c r="B141" s="6">
        <v>12</v>
      </c>
      <c r="C141" s="52"/>
    </row>
    <row r="142" spans="1:3" x14ac:dyDescent="0.2">
      <c r="A142" s="6" t="s">
        <v>258</v>
      </c>
      <c r="B142" s="6">
        <v>7</v>
      </c>
      <c r="C142" s="52"/>
    </row>
    <row r="143" spans="1:3" x14ac:dyDescent="0.2">
      <c r="A143" s="116" t="s">
        <v>294</v>
      </c>
      <c r="B143" s="114"/>
      <c r="C143" s="52"/>
    </row>
    <row r="144" spans="1:3" x14ac:dyDescent="0.2">
      <c r="A144" s="494" t="s">
        <v>369</v>
      </c>
      <c r="B144" s="494"/>
      <c r="C144" s="45">
        <f>+ROUND(((B139/B140/B141)*B142)*B143,2)</f>
        <v>0</v>
      </c>
    </row>
    <row r="146" spans="1:3" x14ac:dyDescent="0.2">
      <c r="A146" s="507" t="s">
        <v>259</v>
      </c>
      <c r="B146" s="508"/>
      <c r="C146" s="509"/>
    </row>
    <row r="147" spans="1:3" x14ac:dyDescent="0.2">
      <c r="A147" s="115" t="s">
        <v>260</v>
      </c>
      <c r="B147" s="114">
        <f>+B143</f>
        <v>0</v>
      </c>
      <c r="C147" s="52"/>
    </row>
    <row r="148" spans="1:3" x14ac:dyDescent="0.2">
      <c r="A148" s="6" t="s">
        <v>247</v>
      </c>
      <c r="B148" s="18">
        <f>+'Vigilante 12x36 Noturno Arm'!$D$23</f>
        <v>0</v>
      </c>
      <c r="C148" s="52"/>
    </row>
    <row r="149" spans="1:3" x14ac:dyDescent="0.2">
      <c r="A149" s="6" t="s">
        <v>46</v>
      </c>
      <c r="B149" s="18">
        <f>+'Vigilante 12x36 Noturno Arm'!$D$29</f>
        <v>0</v>
      </c>
      <c r="C149" s="52"/>
    </row>
    <row r="150" spans="1:3" x14ac:dyDescent="0.2">
      <c r="A150" s="111" t="s">
        <v>45</v>
      </c>
      <c r="B150" s="18">
        <f>+'Vigilante 12x36 Noturno Arm'!$D$31</f>
        <v>0</v>
      </c>
      <c r="C150" s="52"/>
    </row>
    <row r="151" spans="1:3" x14ac:dyDescent="0.2">
      <c r="A151" s="111" t="s">
        <v>44</v>
      </c>
      <c r="B151" s="18">
        <f>+'Vigilante 12x36 Noturno Arm'!$D$32</f>
        <v>0</v>
      </c>
      <c r="C151" s="52"/>
    </row>
    <row r="152" spans="1:3" x14ac:dyDescent="0.2">
      <c r="A152" s="104" t="s">
        <v>248</v>
      </c>
      <c r="B152" s="105">
        <f>SUM(B148:B151)</f>
        <v>0</v>
      </c>
      <c r="C152" s="52"/>
    </row>
    <row r="153" spans="1:3" x14ac:dyDescent="0.2">
      <c r="A153" s="25" t="s">
        <v>249</v>
      </c>
      <c r="B153" s="17">
        <v>0.4</v>
      </c>
      <c r="C153" s="52"/>
    </row>
    <row r="154" spans="1:3" x14ac:dyDescent="0.2">
      <c r="A154" s="25" t="s">
        <v>250</v>
      </c>
      <c r="B154" s="17">
        <f>+'Vigilante 12x36 Noturno Arm'!$C$44</f>
        <v>0.08</v>
      </c>
      <c r="C154" s="52"/>
    </row>
    <row r="155" spans="1:3" x14ac:dyDescent="0.2">
      <c r="A155" s="510" t="s">
        <v>252</v>
      </c>
      <c r="B155" s="510"/>
      <c r="C155" s="73">
        <f>ROUND(+B152*B153*B154*B147,2)</f>
        <v>0</v>
      </c>
    </row>
    <row r="156" spans="1:3" x14ac:dyDescent="0.2">
      <c r="A156" s="25" t="s">
        <v>253</v>
      </c>
      <c r="B156" s="17">
        <v>0.1</v>
      </c>
      <c r="C156" s="52"/>
    </row>
    <row r="157" spans="1:3" x14ac:dyDescent="0.2">
      <c r="A157" s="510" t="s">
        <v>254</v>
      </c>
      <c r="B157" s="510"/>
      <c r="C157" s="112">
        <f>ROUND(B156*B154*B152*B147,2)</f>
        <v>0</v>
      </c>
    </row>
    <row r="158" spans="1:3" x14ac:dyDescent="0.2">
      <c r="A158" s="504" t="s">
        <v>385</v>
      </c>
      <c r="B158" s="505"/>
      <c r="C158" s="71">
        <f>+C157+C155</f>
        <v>0</v>
      </c>
    </row>
    <row r="160" spans="1:3" x14ac:dyDescent="0.2">
      <c r="A160" s="507" t="s">
        <v>262</v>
      </c>
      <c r="B160" s="508"/>
      <c r="C160" s="509"/>
    </row>
    <row r="161" spans="1:3" x14ac:dyDescent="0.2">
      <c r="A161" s="511" t="s">
        <v>358</v>
      </c>
      <c r="B161" s="511"/>
      <c r="C161" s="511"/>
    </row>
    <row r="162" spans="1:3" x14ac:dyDescent="0.2">
      <c r="A162" s="511"/>
      <c r="B162" s="511"/>
      <c r="C162" s="511"/>
    </row>
    <row r="163" spans="1:3" x14ac:dyDescent="0.2">
      <c r="A163" s="511"/>
      <c r="B163" s="511"/>
      <c r="C163" s="511"/>
    </row>
    <row r="164" spans="1:3" x14ac:dyDescent="0.2">
      <c r="A164" s="511"/>
      <c r="B164" s="511"/>
      <c r="C164" s="511"/>
    </row>
    <row r="165" spans="1:3" x14ac:dyDescent="0.2">
      <c r="A165" s="119"/>
      <c r="B165" s="119"/>
      <c r="C165" s="119"/>
    </row>
    <row r="166" spans="1:3" x14ac:dyDescent="0.2">
      <c r="A166" s="512" t="s">
        <v>261</v>
      </c>
      <c r="B166" s="512"/>
      <c r="C166" s="512"/>
    </row>
    <row r="167" spans="1:3" x14ac:dyDescent="0.2">
      <c r="A167" s="6" t="s">
        <v>263</v>
      </c>
      <c r="B167" s="18">
        <f>+$B$7</f>
        <v>0</v>
      </c>
      <c r="C167" s="52"/>
    </row>
    <row r="168" spans="1:3" x14ac:dyDescent="0.2">
      <c r="A168" s="6" t="s">
        <v>206</v>
      </c>
      <c r="B168" s="6">
        <v>30</v>
      </c>
      <c r="C168" s="52"/>
    </row>
    <row r="169" spans="1:3" x14ac:dyDescent="0.2">
      <c r="A169" s="6" t="s">
        <v>264</v>
      </c>
      <c r="B169" s="6">
        <v>12</v>
      </c>
      <c r="C169" s="52"/>
    </row>
    <row r="170" spans="1:3" x14ac:dyDescent="0.2">
      <c r="A170" s="116" t="s">
        <v>265</v>
      </c>
      <c r="B170" s="116"/>
      <c r="C170" s="52"/>
    </row>
    <row r="171" spans="1:3" x14ac:dyDescent="0.2">
      <c r="A171" s="494" t="s">
        <v>266</v>
      </c>
      <c r="B171" s="494"/>
      <c r="C171" s="24">
        <f>+ROUND((B167/B168/B169)*B170,2)</f>
        <v>0</v>
      </c>
    </row>
    <row r="173" spans="1:3" x14ac:dyDescent="0.2">
      <c r="A173" s="512" t="s">
        <v>269</v>
      </c>
      <c r="B173" s="512"/>
      <c r="C173" s="512"/>
    </row>
    <row r="174" spans="1:3" x14ac:dyDescent="0.2">
      <c r="A174" s="6" t="s">
        <v>263</v>
      </c>
      <c r="B174" s="18">
        <f>+$B$7</f>
        <v>0</v>
      </c>
      <c r="C174" s="52"/>
    </row>
    <row r="175" spans="1:3" x14ac:dyDescent="0.2">
      <c r="A175" s="6" t="s">
        <v>206</v>
      </c>
      <c r="B175" s="6">
        <v>30</v>
      </c>
      <c r="C175" s="52"/>
    </row>
    <row r="176" spans="1:3" x14ac:dyDescent="0.2">
      <c r="A176" s="6" t="s">
        <v>264</v>
      </c>
      <c r="B176" s="6">
        <v>12</v>
      </c>
      <c r="C176" s="52"/>
    </row>
    <row r="177" spans="1:3" x14ac:dyDescent="0.2">
      <c r="A177" s="34" t="s">
        <v>267</v>
      </c>
      <c r="B177" s="6">
        <v>5</v>
      </c>
      <c r="C177" s="52"/>
    </row>
    <row r="178" spans="1:3" x14ac:dyDescent="0.2">
      <c r="A178" s="116" t="s">
        <v>268</v>
      </c>
      <c r="B178" s="114"/>
      <c r="C178" s="52"/>
    </row>
    <row r="179" spans="1:3" x14ac:dyDescent="0.2">
      <c r="A179" s="116" t="s">
        <v>270</v>
      </c>
      <c r="B179" s="114"/>
      <c r="C179" s="52"/>
    </row>
    <row r="180" spans="1:3" x14ac:dyDescent="0.2">
      <c r="A180" s="494" t="s">
        <v>271</v>
      </c>
      <c r="B180" s="494"/>
      <c r="C180" s="45">
        <f>ROUND(+B174/B175/B176*B177*B178*B179,2)</f>
        <v>0</v>
      </c>
    </row>
    <row r="182" spans="1:3" x14ac:dyDescent="0.2">
      <c r="A182" s="512" t="s">
        <v>272</v>
      </c>
      <c r="B182" s="512"/>
      <c r="C182" s="512"/>
    </row>
    <row r="183" spans="1:3" x14ac:dyDescent="0.2">
      <c r="A183" s="6" t="s">
        <v>263</v>
      </c>
      <c r="B183" s="18">
        <f>+$B$7</f>
        <v>0</v>
      </c>
      <c r="C183" s="52"/>
    </row>
    <row r="184" spans="1:3" x14ac:dyDescent="0.2">
      <c r="A184" s="6" t="s">
        <v>206</v>
      </c>
      <c r="B184" s="6">
        <v>30</v>
      </c>
      <c r="C184" s="52"/>
    </row>
    <row r="185" spans="1:3" x14ac:dyDescent="0.2">
      <c r="A185" s="6" t="s">
        <v>264</v>
      </c>
      <c r="B185" s="6">
        <v>12</v>
      </c>
      <c r="C185" s="52"/>
    </row>
    <row r="186" spans="1:3" x14ac:dyDescent="0.2">
      <c r="A186" s="34" t="s">
        <v>273</v>
      </c>
      <c r="B186" s="6">
        <v>15</v>
      </c>
      <c r="C186" s="52"/>
    </row>
    <row r="187" spans="1:3" x14ac:dyDescent="0.2">
      <c r="A187" s="116" t="s">
        <v>274</v>
      </c>
      <c r="B187" s="114"/>
      <c r="C187" s="52"/>
    </row>
    <row r="188" spans="1:3" x14ac:dyDescent="0.2">
      <c r="A188" s="494" t="s">
        <v>370</v>
      </c>
      <c r="B188" s="494"/>
      <c r="C188" s="45">
        <f>ROUND(+B183/B184/B185*B186*B187,2)</f>
        <v>0</v>
      </c>
    </row>
    <row r="190" spans="1:3" x14ac:dyDescent="0.2">
      <c r="A190" s="512" t="s">
        <v>275</v>
      </c>
      <c r="B190" s="512"/>
      <c r="C190" s="512"/>
    </row>
    <row r="191" spans="1:3" x14ac:dyDescent="0.2">
      <c r="A191" s="6" t="s">
        <v>263</v>
      </c>
      <c r="B191" s="18">
        <f>+$B$7</f>
        <v>0</v>
      </c>
      <c r="C191" s="52"/>
    </row>
    <row r="192" spans="1:3" x14ac:dyDescent="0.2">
      <c r="A192" s="6" t="s">
        <v>206</v>
      </c>
      <c r="B192" s="6">
        <v>30</v>
      </c>
      <c r="C192" s="52"/>
    </row>
    <row r="193" spans="1:3" x14ac:dyDescent="0.2">
      <c r="A193" s="6" t="s">
        <v>264</v>
      </c>
      <c r="B193" s="6">
        <v>12</v>
      </c>
      <c r="C193" s="52"/>
    </row>
    <row r="194" spans="1:3" x14ac:dyDescent="0.2">
      <c r="A194" s="34" t="s">
        <v>273</v>
      </c>
      <c r="B194" s="6">
        <v>5</v>
      </c>
      <c r="C194" s="52"/>
    </row>
    <row r="195" spans="1:3" x14ac:dyDescent="0.2">
      <c r="A195" s="116" t="s">
        <v>276</v>
      </c>
      <c r="B195" s="114"/>
      <c r="C195" s="52"/>
    </row>
    <row r="196" spans="1:3" x14ac:dyDescent="0.2">
      <c r="A196" s="494" t="s">
        <v>371</v>
      </c>
      <c r="B196" s="494"/>
      <c r="C196" s="45">
        <f>ROUND(+B191/B192/B193*B194*B195,2)</f>
        <v>0</v>
      </c>
    </row>
    <row r="198" spans="1:3" x14ac:dyDescent="0.2">
      <c r="A198" s="459" t="s">
        <v>108</v>
      </c>
      <c r="B198" s="459"/>
      <c r="C198" s="459"/>
    </row>
    <row r="199" spans="1:3" x14ac:dyDescent="0.2">
      <c r="A199" s="83" t="s">
        <v>23</v>
      </c>
      <c r="B199" s="87"/>
      <c r="C199" s="18">
        <f>+'Vigilante 12x36 Noturno Arm'!D23-'Vigilante 12x36 Noturno Arm'!D21</f>
        <v>0</v>
      </c>
    </row>
    <row r="200" spans="1:3" x14ac:dyDescent="0.2">
      <c r="A200" s="83" t="s">
        <v>68</v>
      </c>
      <c r="B200" s="87"/>
      <c r="C200" s="18">
        <f>+'Vigilante 12x36 Noturno Arm'!D68</f>
        <v>0</v>
      </c>
    </row>
    <row r="201" spans="1:3" x14ac:dyDescent="0.2">
      <c r="A201" s="83" t="s">
        <v>153</v>
      </c>
      <c r="B201" s="87"/>
      <c r="C201" s="18">
        <f>+'Vigilante 12x36 Noturno Arm'!D116</f>
        <v>0</v>
      </c>
    </row>
    <row r="202" spans="1:3" x14ac:dyDescent="0.2">
      <c r="A202" s="83" t="s">
        <v>86</v>
      </c>
      <c r="B202" s="87"/>
      <c r="C202" s="18">
        <f>+'Vigilante 12x36 Noturno Arm'!D107</f>
        <v>0</v>
      </c>
    </row>
    <row r="203" spans="1:3" x14ac:dyDescent="0.2">
      <c r="A203" s="83" t="s">
        <v>92</v>
      </c>
      <c r="B203" s="87"/>
      <c r="C203" s="18">
        <f>+'Vigilante 12x36 Noturno Arm'!D108</f>
        <v>0</v>
      </c>
    </row>
    <row r="204" spans="1:3" x14ac:dyDescent="0.2">
      <c r="A204" s="83" t="s">
        <v>70</v>
      </c>
      <c r="B204" s="87"/>
      <c r="C204" s="18">
        <f>+'Vigilante 12x36 Noturno Arm'!D79</f>
        <v>0</v>
      </c>
    </row>
    <row r="205" spans="1:3" x14ac:dyDescent="0.2">
      <c r="A205" s="83" t="s">
        <v>193</v>
      </c>
      <c r="B205" s="87"/>
      <c r="C205" s="18">
        <f>SUM(C199:C204)</f>
        <v>0</v>
      </c>
    </row>
    <row r="206" spans="1:3" x14ac:dyDescent="0.2">
      <c r="A206" s="83" t="s">
        <v>102</v>
      </c>
      <c r="B206" s="84">
        <v>220</v>
      </c>
      <c r="C206" s="85"/>
    </row>
    <row r="207" spans="1:3" x14ac:dyDescent="0.2">
      <c r="A207" s="83" t="s">
        <v>103</v>
      </c>
      <c r="B207" s="87"/>
      <c r="C207" s="18">
        <f>ROUND(C205/B206,2)</f>
        <v>0</v>
      </c>
    </row>
    <row r="208" spans="1:3" x14ac:dyDescent="0.2">
      <c r="A208" s="6" t="s">
        <v>104</v>
      </c>
      <c r="B208" s="51">
        <f>(365.25/12/2)/(7/7)</f>
        <v>15.21875</v>
      </c>
      <c r="C208" s="58"/>
    </row>
    <row r="209" spans="1:3" x14ac:dyDescent="0.2">
      <c r="A209" s="504" t="s">
        <v>106</v>
      </c>
      <c r="B209" s="505"/>
      <c r="C209" s="71">
        <f>ROUND(+B208*C207,2)</f>
        <v>0</v>
      </c>
    </row>
    <row r="211" spans="1:3" x14ac:dyDescent="0.2">
      <c r="A211" s="512" t="s">
        <v>277</v>
      </c>
      <c r="B211" s="512"/>
      <c r="C211" s="512"/>
    </row>
    <row r="212" spans="1:3" x14ac:dyDescent="0.2">
      <c r="A212" s="513" t="s">
        <v>282</v>
      </c>
      <c r="B212" s="514"/>
      <c r="C212" s="515"/>
    </row>
    <row r="213" spans="1:3" x14ac:dyDescent="0.2">
      <c r="A213" s="6" t="s">
        <v>263</v>
      </c>
      <c r="B213" s="18">
        <f>+$B$7</f>
        <v>0</v>
      </c>
      <c r="C213" s="52"/>
    </row>
    <row r="214" spans="1:3" x14ac:dyDescent="0.2">
      <c r="A214" s="6" t="s">
        <v>281</v>
      </c>
      <c r="B214" s="18">
        <f>+B213*(1/3)</f>
        <v>0</v>
      </c>
      <c r="C214" s="52"/>
    </row>
    <row r="215" spans="1:3" x14ac:dyDescent="0.2">
      <c r="A215" s="104" t="s">
        <v>248</v>
      </c>
      <c r="B215" s="105">
        <f>SUM(B213:B214)</f>
        <v>0</v>
      </c>
      <c r="C215" s="52"/>
    </row>
    <row r="216" spans="1:3" x14ac:dyDescent="0.2">
      <c r="A216" s="6" t="s">
        <v>278</v>
      </c>
      <c r="B216" s="6">
        <v>4</v>
      </c>
      <c r="C216" s="52"/>
    </row>
    <row r="217" spans="1:3" x14ac:dyDescent="0.2">
      <c r="A217" s="6" t="s">
        <v>264</v>
      </c>
      <c r="B217" s="6">
        <v>12</v>
      </c>
      <c r="C217" s="52"/>
    </row>
    <row r="218" spans="1:3" x14ac:dyDescent="0.2">
      <c r="A218" s="116" t="s">
        <v>279</v>
      </c>
      <c r="B218" s="114"/>
      <c r="C218" s="52"/>
    </row>
    <row r="219" spans="1:3" x14ac:dyDescent="0.2">
      <c r="A219" s="116" t="s">
        <v>280</v>
      </c>
      <c r="B219" s="114"/>
      <c r="C219" s="52"/>
    </row>
    <row r="220" spans="1:3" x14ac:dyDescent="0.2">
      <c r="A220" s="494" t="s">
        <v>283</v>
      </c>
      <c r="B220" s="494"/>
      <c r="C220" s="45">
        <f>ROUND((((+B215*(B216/B217)/B217)*B218)*B219),2)</f>
        <v>0</v>
      </c>
    </row>
    <row r="221" spans="1:3" ht="18" customHeight="1" x14ac:dyDescent="0.2">
      <c r="A221" s="494" t="s">
        <v>284</v>
      </c>
      <c r="B221" s="494"/>
      <c r="C221" s="494"/>
    </row>
    <row r="222" spans="1:3" x14ac:dyDescent="0.2">
      <c r="A222" s="6" t="s">
        <v>263</v>
      </c>
      <c r="B222" s="18">
        <f>+'Vigilante 12x36 Noturno Arm'!D23</f>
        <v>0</v>
      </c>
      <c r="C222" s="52"/>
    </row>
    <row r="223" spans="1:3" x14ac:dyDescent="0.2">
      <c r="A223" s="6" t="s">
        <v>46</v>
      </c>
      <c r="B223" s="18">
        <f>+'Vigilante 12x36 Noturno Arm'!D29</f>
        <v>0</v>
      </c>
      <c r="C223" s="52"/>
    </row>
    <row r="224" spans="1:3" x14ac:dyDescent="0.2">
      <c r="A224" s="104" t="s">
        <v>248</v>
      </c>
      <c r="B224" s="105">
        <f>SUM(B222:B223)</f>
        <v>0</v>
      </c>
      <c r="C224" s="52"/>
    </row>
    <row r="225" spans="1:3" x14ac:dyDescent="0.2">
      <c r="A225" s="6" t="s">
        <v>278</v>
      </c>
      <c r="B225" s="6">
        <v>4</v>
      </c>
      <c r="C225" s="52"/>
    </row>
    <row r="226" spans="1:3" x14ac:dyDescent="0.2">
      <c r="A226" s="6" t="s">
        <v>264</v>
      </c>
      <c r="B226" s="6">
        <v>12</v>
      </c>
      <c r="C226" s="52"/>
    </row>
    <row r="227" spans="1:3" x14ac:dyDescent="0.2">
      <c r="A227" s="116" t="s">
        <v>279</v>
      </c>
      <c r="B227" s="114"/>
      <c r="C227" s="52"/>
    </row>
    <row r="228" spans="1:3" x14ac:dyDescent="0.2">
      <c r="A228" s="116" t="s">
        <v>280</v>
      </c>
      <c r="B228" s="114"/>
      <c r="C228" s="52"/>
    </row>
    <row r="229" spans="1:3" x14ac:dyDescent="0.2">
      <c r="A229" s="34" t="s">
        <v>285</v>
      </c>
      <c r="B229" s="17">
        <f>+'Vigilante 12x36 Noturno Arm'!C45</f>
        <v>0.36800000000000005</v>
      </c>
      <c r="C229" s="52"/>
    </row>
    <row r="230" spans="1:3" x14ac:dyDescent="0.2">
      <c r="A230" s="494" t="s">
        <v>286</v>
      </c>
      <c r="B230" s="494"/>
      <c r="C230" s="71">
        <f>ROUND((((B224*(B225/B226)*B227)*B228)*B229),2)</f>
        <v>0</v>
      </c>
    </row>
  </sheetData>
  <mergeCells count="44">
    <mergeCell ref="A221:C221"/>
    <mergeCell ref="A230:B230"/>
    <mergeCell ref="A196:B196"/>
    <mergeCell ref="A198:C198"/>
    <mergeCell ref="A209:B209"/>
    <mergeCell ref="A211:C211"/>
    <mergeCell ref="A212:C212"/>
    <mergeCell ref="A220:B220"/>
    <mergeCell ref="A190:C190"/>
    <mergeCell ref="A155:B155"/>
    <mergeCell ref="A157:B157"/>
    <mergeCell ref="A158:B158"/>
    <mergeCell ref="A160:C160"/>
    <mergeCell ref="A161:C164"/>
    <mergeCell ref="A166:C166"/>
    <mergeCell ref="A171:B171"/>
    <mergeCell ref="A173:C173"/>
    <mergeCell ref="A180:B180"/>
    <mergeCell ref="A182:C182"/>
    <mergeCell ref="A188:B188"/>
    <mergeCell ref="A146:C146"/>
    <mergeCell ref="A107:B107"/>
    <mergeCell ref="A109:C109"/>
    <mergeCell ref="A116:B116"/>
    <mergeCell ref="A118:C118"/>
    <mergeCell ref="A122:B122"/>
    <mergeCell ref="A124:C124"/>
    <mergeCell ref="A133:B133"/>
    <mergeCell ref="A135:B135"/>
    <mergeCell ref="A136:B136"/>
    <mergeCell ref="A138:C138"/>
    <mergeCell ref="A144:B144"/>
    <mergeCell ref="A100:C100"/>
    <mergeCell ref="A1:C1"/>
    <mergeCell ref="A9:C9"/>
    <mergeCell ref="A25:B25"/>
    <mergeCell ref="A27:C27"/>
    <mergeCell ref="A38:C38"/>
    <mergeCell ref="A51:B51"/>
    <mergeCell ref="A53:C53"/>
    <mergeCell ref="A66:B66"/>
    <mergeCell ref="A68:C68"/>
    <mergeCell ref="A79:C79"/>
    <mergeCell ref="A98:B98"/>
  </mergeCells>
  <pageMargins left="1.0236220472440944" right="0.11811023622047245" top="0.19685039370078741" bottom="0.35433070866141736" header="7.874015748031496E-2" footer="0.31496062992125984"/>
  <pageSetup paperSize="9" scale="90" orientation="portrait" r:id="rId1"/>
  <headerFooter>
    <oddFooter>&amp;A</oddFooter>
  </headerFooter>
  <rowBreaks count="2" manualBreakCount="2">
    <brk id="123" max="16383" man="1"/>
    <brk id="18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28</vt:i4>
      </vt:variant>
      <vt:variant>
        <vt:lpstr>Intervalos Nomeados</vt:lpstr>
      </vt:variant>
      <vt:variant>
        <vt:i4>28</vt:i4>
      </vt:variant>
    </vt:vector>
  </HeadingPairs>
  <TitlesOfParts>
    <vt:vector size="56" baseType="lpstr">
      <vt:lpstr>Apresentação</vt:lpstr>
      <vt:lpstr>Demanda LOTE I</vt:lpstr>
      <vt:lpstr>Demanda LOTE II</vt:lpstr>
      <vt:lpstr>Demanda LOTE III</vt:lpstr>
      <vt:lpstr>Demanda LOTE IV</vt:lpstr>
      <vt:lpstr>Vigilante 12X36 Diurno Arm</vt:lpstr>
      <vt:lpstr>Calculo 12 36 Diu Arm</vt:lpstr>
      <vt:lpstr>Vigilante 12x36 Noturno Arm</vt:lpstr>
      <vt:lpstr>Calculo 12 36 Not Arm</vt:lpstr>
      <vt:lpstr>Vigilante 12X36 Diurno Des</vt:lpstr>
      <vt:lpstr>Calculo 12 36 Diu Des</vt:lpstr>
      <vt:lpstr>Vigilante 12X36 Noturno Des</vt:lpstr>
      <vt:lpstr>Calculo 12 36 Not Des</vt:lpstr>
      <vt:lpstr>Vigilante 5x2 12h Arm</vt:lpstr>
      <vt:lpstr>Calculo 5x2 12h Arm</vt:lpstr>
      <vt:lpstr>Vigilante 5x2 12h Desar</vt:lpstr>
      <vt:lpstr>Calculo 5x2 12h Desar</vt:lpstr>
      <vt:lpstr>Vigilante 44h Arm</vt:lpstr>
      <vt:lpstr>Calculo 44h Arm</vt:lpstr>
      <vt:lpstr>Vigilante 44h Desarm</vt:lpstr>
      <vt:lpstr>Calculo 44h Desarm</vt:lpstr>
      <vt:lpstr>Vigilante Xerem 12x36 Diu Arm </vt:lpstr>
      <vt:lpstr>Calculo Xerem 12x36 diu</vt:lpstr>
      <vt:lpstr>Vigilante Xerem 12x36 not Arm</vt:lpstr>
      <vt:lpstr>Calculo Xerem 12x36 not</vt:lpstr>
      <vt:lpstr>Vigilante Xerem 44h des</vt:lpstr>
      <vt:lpstr>Calculo Xerem 44h des</vt:lpstr>
      <vt:lpstr>Uniforme</vt:lpstr>
      <vt:lpstr>Apresentação!Area_de_impressao</vt:lpstr>
      <vt:lpstr>'Calculo 12 36 Diu Arm'!Area_de_impressao</vt:lpstr>
      <vt:lpstr>'Calculo 12 36 Diu Des'!Area_de_impressao</vt:lpstr>
      <vt:lpstr>'Calculo 12 36 Not Arm'!Area_de_impressao</vt:lpstr>
      <vt:lpstr>'Calculo 12 36 Not Des'!Area_de_impressao</vt:lpstr>
      <vt:lpstr>'Calculo 44h Arm'!Area_de_impressao</vt:lpstr>
      <vt:lpstr>'Calculo 5x2 12h Arm'!Area_de_impressao</vt:lpstr>
      <vt:lpstr>'Calculo 5x2 12h Desar'!Area_de_impressao</vt:lpstr>
      <vt:lpstr>'Calculo Xerem 12x36 diu'!Area_de_impressao</vt:lpstr>
      <vt:lpstr>'Calculo Xerem 12x36 not'!Area_de_impressao</vt:lpstr>
      <vt:lpstr>'Calculo Xerem 44h des'!Area_de_impressao</vt:lpstr>
      <vt:lpstr>'Demanda LOTE I'!Area_de_impressao</vt:lpstr>
      <vt:lpstr>'Demanda LOTE II'!Area_de_impressao</vt:lpstr>
      <vt:lpstr>'Demanda LOTE III'!Area_de_impressao</vt:lpstr>
      <vt:lpstr>'Demanda LOTE IV'!Area_de_impressao</vt:lpstr>
      <vt:lpstr>Uniforme!Area_de_impressao</vt:lpstr>
      <vt:lpstr>'Vigilante 12X36 Diurno Arm'!Area_de_impressao</vt:lpstr>
      <vt:lpstr>'Vigilante 12X36 Diurno Des'!Area_de_impressao</vt:lpstr>
      <vt:lpstr>'Vigilante 12x36 Noturno Arm'!Area_de_impressao</vt:lpstr>
      <vt:lpstr>'Vigilante 12X36 Noturno Des'!Area_de_impressao</vt:lpstr>
      <vt:lpstr>'Vigilante 44h Arm'!Area_de_impressao</vt:lpstr>
      <vt:lpstr>'Vigilante 44h Desarm'!Area_de_impressao</vt:lpstr>
      <vt:lpstr>'Vigilante 5x2 12h Arm'!Area_de_impressao</vt:lpstr>
      <vt:lpstr>'Vigilante 5x2 12h Desar'!Area_de_impressao</vt:lpstr>
      <vt:lpstr>'Vigilante Xerem 12x36 Diu Arm '!Area_de_impressao</vt:lpstr>
      <vt:lpstr>'Vigilante Xerem 12x36 not Arm'!Area_de_impressao</vt:lpstr>
      <vt:lpstr>'Vigilante Xerem 44h des'!Area_de_impressao</vt:lpstr>
      <vt:lpstr>Apresentação!Titulos_de_impressao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marcelao</dc:creator>
  <cp:lastModifiedBy>Diego Paulo</cp:lastModifiedBy>
  <cp:lastPrinted>2018-07-25T14:43:47Z</cp:lastPrinted>
  <dcterms:created xsi:type="dcterms:W3CDTF">2017-09-28T13:23:26Z</dcterms:created>
  <dcterms:modified xsi:type="dcterms:W3CDTF">2018-10-01T18:05:45Z</dcterms:modified>
</cp:coreProperties>
</file>